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15" windowWidth="14520" windowHeight="12795" tabRatio="655" activeTab="3"/>
  </bookViews>
  <sheets>
    <sheet name="ENTRATE" sheetId="1" r:id="rId1"/>
    <sheet name="USCITE" sheetId="2" r:id="rId2"/>
    <sheet name="Foglio1" sheetId="3" state="hidden" r:id="rId3"/>
    <sheet name="QUADRO RIASSUNTIVO GEST FIN" sheetId="4" r:id="rId4"/>
    <sheet name="DEMO RIS. AMM.NE PRESUNTO" sheetId="5" state="hidden" r:id="rId5"/>
    <sheet name="entrate uscite al 31_5" sheetId="6" state="hidden" r:id="rId6"/>
    <sheet name="PREVENTIVO ECONOMICO" sheetId="7" state="hidden" r:id="rId7"/>
    <sheet name="situazione amministrativa" sheetId="8" r:id="rId8"/>
    <sheet name="QUADRATURE CASSA BANCA POSTA" sheetId="9" state="hidden" r:id="rId9"/>
    <sheet name="dettaglio partite di giro" sheetId="10" r:id="rId10"/>
    <sheet name="variazioni di bilancio" sheetId="11" state="hidden" r:id="rId11"/>
  </sheets>
  <definedNames/>
  <calcPr fullCalcOnLoad="1"/>
</workbook>
</file>

<file path=xl/comments1.xml><?xml version="1.0" encoding="utf-8"?>
<comments xmlns="http://schemas.openxmlformats.org/spreadsheetml/2006/main">
  <authors>
    <author>Manila</author>
  </authors>
  <commentList>
    <comment ref="C91" authorId="0">
      <text>
        <r>
          <rPr>
            <b/>
            <sz val="9"/>
            <rFont val="Tahoma"/>
            <family val="2"/>
          </rPr>
          <t>Manila:</t>
        </r>
        <r>
          <rPr>
            <sz val="9"/>
            <rFont val="Tahoma"/>
            <family val="2"/>
          </rPr>
          <t xml:space="preserve">
1/3 INPS CARICO DIPENDENTE + ERARIO C/RITENUTE DIPENDENTI+ritenute sindacali
</t>
        </r>
      </text>
    </comment>
    <comment ref="M101" authorId="0">
      <text>
        <r>
          <rPr>
            <b/>
            <sz val="11"/>
            <rFont val="Tahoma"/>
            <family val="2"/>
          </rPr>
          <t>Manila:</t>
        </r>
        <r>
          <rPr>
            <sz val="11"/>
            <rFont val="Tahoma"/>
            <family val="2"/>
          </rPr>
          <t xml:space="preserve">
SOMMA TRA INCASSATE (c) + RESIDUI INIZIALI RISCOSSI OPPURE 
IMPEGNATE - SOPRAVVENIENZE ATTIVE NON MONETARIE - DA INCASSARE (d) +RESIDUI INIZIALI INCASSATI</t>
        </r>
      </text>
    </comment>
  </commentList>
</comments>
</file>

<file path=xl/comments10.xml><?xml version="1.0" encoding="utf-8"?>
<comments xmlns="http://schemas.openxmlformats.org/spreadsheetml/2006/main">
  <authors>
    <author>Manila</author>
  </authors>
  <commentList>
    <comment ref="D31" authorId="0">
      <text>
        <r>
          <rPr>
            <b/>
            <sz val="9"/>
            <rFont val="Tahoma"/>
            <family val="2"/>
          </rPr>
          <t>Manila
riscosso perché Già trattenute dalle retribuzioni</t>
        </r>
      </text>
    </comment>
  </commentList>
</comments>
</file>

<file path=xl/comments11.xml><?xml version="1.0" encoding="utf-8"?>
<comments xmlns="http://schemas.openxmlformats.org/spreadsheetml/2006/main">
  <authors>
    <author>Manila</author>
  </authors>
  <commentList>
    <comment ref="D9" authorId="0">
      <text>
        <r>
          <rPr>
            <b/>
            <sz val="9"/>
            <rFont val="Tahoma"/>
            <family val="2"/>
          </rPr>
          <t>Manila:</t>
        </r>
        <r>
          <rPr>
            <sz val="9"/>
            <rFont val="Tahoma"/>
            <family val="2"/>
          </rPr>
          <t xml:space="preserve">
Mi risulta una fattura pagata doppia.. La 19EA del 31/1/16
</t>
        </r>
      </text>
    </comment>
  </commentList>
</comments>
</file>

<file path=xl/comments2.xml><?xml version="1.0" encoding="utf-8"?>
<comments xmlns="http://schemas.openxmlformats.org/spreadsheetml/2006/main">
  <authors>
    <author>Manila</author>
  </authors>
  <commentList>
    <comment ref="B24" authorId="0">
      <text>
        <r>
          <rPr>
            <b/>
            <sz val="9"/>
            <rFont val="Tahoma"/>
            <family val="2"/>
          </rPr>
          <t>Manila:</t>
        </r>
        <r>
          <rPr>
            <sz val="9"/>
            <rFont val="Tahoma"/>
            <family val="2"/>
          </rPr>
          <t xml:space="preserve">
CONTRIBUTI CARICO AZIENDA + INAIL DIPENDENTI
</t>
        </r>
      </text>
    </comment>
    <comment ref="C174" authorId="0">
      <text>
        <r>
          <rPr>
            <b/>
            <sz val="9"/>
            <rFont val="Tahoma"/>
            <family val="2"/>
          </rPr>
          <t>Manila:</t>
        </r>
        <r>
          <rPr>
            <sz val="9"/>
            <rFont val="Tahoma"/>
            <family val="2"/>
          </rPr>
          <t xml:space="preserve">
1/3 INPS CARICO DIPENDENTE + ERARIO C/RITENUTE DIPENDENTI 
+ ritenute sindacali
+ contributo collegi terremotati+ ritenute d'acconto autonomi
+ ritenute d'acconto
+ enpapi carico collaboratore
- bonus renzi
</t>
        </r>
      </text>
    </comment>
    <comment ref="L24" authorId="0">
      <text>
        <r>
          <rPr>
            <b/>
            <sz val="9"/>
            <rFont val="Tahoma"/>
            <family val="2"/>
          </rPr>
          <t>Manila:</t>
        </r>
        <r>
          <rPr>
            <sz val="9"/>
            <rFont val="Tahoma"/>
            <family val="2"/>
          </rPr>
          <t xml:space="preserve">
2/3 DEL DEBITO VS INPS IN F24 AL 16/1/17 - IL RESTO è PARTITA DI GIRO</t>
        </r>
      </text>
    </comment>
    <comment ref="E174" authorId="0">
      <text>
        <r>
          <rPr>
            <b/>
            <sz val="9"/>
            <rFont val="Tahoma"/>
            <family val="2"/>
          </rPr>
          <t>Manila:</t>
        </r>
        <r>
          <rPr>
            <sz val="9"/>
            <rFont val="Tahoma"/>
            <family val="2"/>
          </rPr>
          <t xml:space="preserve">
1/3 INPS DIPENDENTE MESE DIC. Carico dipendente + TRATT. SINDACALI dell'anno+ RITENUTE ERARIALI al netto bonus renzi + quota enpapi carico collaboratore (no2017)+ ritenute irpef autonomi e collaboratori+ CONTRIBUTO FEDERAZIONE NAZIONALE (no 2017)
</t>
        </r>
      </text>
    </comment>
    <comment ref="E73" authorId="0">
      <text>
        <r>
          <rPr>
            <b/>
            <sz val="9"/>
            <rFont val="Tahoma"/>
            <family val="2"/>
          </rPr>
          <t>Manila:</t>
        </r>
        <r>
          <rPr>
            <sz val="9"/>
            <rFont val="Tahoma"/>
            <family val="2"/>
          </rPr>
          <t xml:space="preserve">
- quota enpapi carico ipasvi (2/3; 1/3 partita di giro da pagare) per menchise e falli
-ft da ricevere corso protocollo informatico teclo 1464
</t>
        </r>
      </text>
    </comment>
    <comment ref="M179" authorId="0">
      <text>
        <r>
          <rPr>
            <b/>
            <sz val="9"/>
            <rFont val="Tahoma"/>
            <family val="2"/>
          </rPr>
          <t>Manila:</t>
        </r>
        <r>
          <rPr>
            <sz val="9"/>
            <rFont val="Tahoma"/>
            <family val="2"/>
          </rPr>
          <t xml:space="preserve">
TOTALE IMPEGANTO (B) - DA PAGARE (D) + RESIDUI  PAGATI - SOPRAVVENIENZE PASSIVE NON MONETARIE </t>
        </r>
      </text>
    </comment>
    <comment ref="E89" authorId="0">
      <text>
        <r>
          <rPr>
            <b/>
            <sz val="9"/>
            <rFont val="Tahoma"/>
            <family val="2"/>
          </rPr>
          <t>Manila:</t>
        </r>
        <r>
          <rPr>
            <sz val="9"/>
            <rFont val="Tahoma"/>
            <family val="2"/>
          </rPr>
          <t xml:space="preserve">
bollo su cartasì</t>
        </r>
      </text>
    </comment>
    <comment ref="L67" authorId="0">
      <text>
        <r>
          <rPr>
            <b/>
            <sz val="9"/>
            <rFont val="Tahoma"/>
            <family val="2"/>
          </rPr>
          <t>Manila:</t>
        </r>
        <r>
          <rPr>
            <sz val="9"/>
            <rFont val="Tahoma"/>
            <family val="2"/>
          </rPr>
          <t xml:space="preserve">
errebigrafiche ripesi</t>
        </r>
      </text>
    </comment>
    <comment ref="L97" authorId="0">
      <text>
        <r>
          <rPr>
            <b/>
            <sz val="9"/>
            <rFont val="Tahoma"/>
            <family val="2"/>
          </rPr>
          <t>Manila:</t>
        </r>
        <r>
          <rPr>
            <sz val="9"/>
            <rFont val="Tahoma"/>
            <family val="2"/>
          </rPr>
          <t xml:space="preserve">
irap stipendi dicembre e collaborazioni dicembre</t>
        </r>
      </text>
    </comment>
    <comment ref="D174" authorId="0">
      <text>
        <r>
          <rPr>
            <b/>
            <sz val="9"/>
            <rFont val="Tahoma"/>
            <family val="2"/>
          </rPr>
          <t>Manila:</t>
        </r>
        <r>
          <rPr>
            <sz val="9"/>
            <rFont val="Tahoma"/>
            <family val="2"/>
          </rPr>
          <t xml:space="preserve">
al netto bonus renzi</t>
        </r>
      </text>
    </comment>
    <comment ref="C20" authorId="0">
      <text>
        <r>
          <rPr>
            <b/>
            <sz val="9"/>
            <rFont val="Tahoma"/>
            <family val="2"/>
          </rPr>
          <t>Manila:</t>
        </r>
        <r>
          <rPr>
            <sz val="9"/>
            <rFont val="Tahoma"/>
            <family val="2"/>
          </rPr>
          <t xml:space="preserve">
LORDO RETRIBUZIONI</t>
        </r>
      </text>
    </comment>
    <comment ref="D20" authorId="0">
      <text>
        <r>
          <rPr>
            <b/>
            <sz val="9"/>
            <rFont val="Tahoma"/>
            <family val="2"/>
          </rPr>
          <t>Manila:</t>
        </r>
        <r>
          <rPr>
            <sz val="9"/>
            <rFont val="Tahoma"/>
            <family val="2"/>
          </rPr>
          <t xml:space="preserve">
LORDO RETRIBUZIONI PAGATE MENO DICEMBRE PAGATA A GENNAIO</t>
        </r>
      </text>
    </comment>
    <comment ref="E20" authorId="0">
      <text>
        <r>
          <rPr>
            <b/>
            <sz val="9"/>
            <rFont val="Tahoma"/>
            <family val="2"/>
          </rPr>
          <t>Manila:</t>
        </r>
        <r>
          <rPr>
            <sz val="9"/>
            <rFont val="Tahoma"/>
            <family val="2"/>
          </rPr>
          <t xml:space="preserve">
LORDO RETRIBUZIONI DICEMBRE PAGATE GENNAIO
</t>
        </r>
      </text>
    </comment>
    <comment ref="C24" authorId="0">
      <text>
        <r>
          <rPr>
            <b/>
            <sz val="9"/>
            <rFont val="Tahoma"/>
            <family val="2"/>
          </rPr>
          <t>Manila
CONTRIBUTI INPS CARICO AZIENDA + INAILdi competenza</t>
        </r>
      </text>
    </comment>
    <comment ref="E24" authorId="0">
      <text>
        <r>
          <rPr>
            <b/>
            <sz val="9"/>
            <rFont val="Tahoma"/>
            <family val="2"/>
          </rPr>
          <t>Manila:</t>
        </r>
        <r>
          <rPr>
            <sz val="9"/>
            <rFont val="Tahoma"/>
            <family val="2"/>
          </rPr>
          <t xml:space="preserve">
QUOTA CONTRIBUTI INPS CARICO DITTA DA VERSARE IN F24 A GENNAIO
</t>
        </r>
      </text>
    </comment>
    <comment ref="C39" authorId="0">
      <text>
        <r>
          <rPr>
            <b/>
            <sz val="9"/>
            <rFont val="Tahoma"/>
            <family val="2"/>
          </rPr>
          <t>Manila:</t>
        </r>
        <r>
          <rPr>
            <sz val="9"/>
            <rFont val="Tahoma"/>
            <family val="2"/>
          </rPr>
          <t xml:space="preserve">
PRESTAZIONI AL LORDO RITENUTE D'ACCONTO INSERITE ANCHE COME P.DI GIRO</t>
        </r>
      </text>
    </comment>
    <comment ref="C72" authorId="0">
      <text>
        <r>
          <rPr>
            <b/>
            <sz val="9"/>
            <rFont val="Tahoma"/>
            <family val="2"/>
          </rPr>
          <t>Manila:</t>
        </r>
        <r>
          <rPr>
            <sz val="9"/>
            <rFont val="Tahoma"/>
            <family val="2"/>
          </rPr>
          <t xml:space="preserve">
LORDO RITENUTE GAGLIARDE INSERITA ANCHE IN PARTITE DI GIRO
</t>
        </r>
      </text>
    </comment>
    <comment ref="C73" authorId="0">
      <text>
        <r>
          <rPr>
            <b/>
            <sz val="9"/>
            <rFont val="Tahoma"/>
            <family val="2"/>
          </rPr>
          <t>Manila:</t>
        </r>
        <r>
          <rPr>
            <sz val="9"/>
            <rFont val="Tahoma"/>
            <family val="2"/>
          </rPr>
          <t xml:space="preserve">
AL LORDO DELLE RITENUTE D'ACCONTO INSERITE ANCHE IN P. DI GIRO</t>
        </r>
      </text>
    </comment>
    <comment ref="D117" authorId="0">
      <text>
        <r>
          <rPr>
            <b/>
            <sz val="9"/>
            <rFont val="Tahoma"/>
            <family val="2"/>
          </rPr>
          <t>Manila:</t>
        </r>
        <r>
          <rPr>
            <sz val="9"/>
            <rFont val="Tahoma"/>
            <family val="2"/>
          </rPr>
          <t xml:space="preserve">
ritenuta canonico inclusa sia qui sia tra le partite di giro in entrata sia in uscita ma da pagare</t>
        </r>
      </text>
    </comment>
    <comment ref="E111" authorId="0">
      <text>
        <r>
          <rPr>
            <b/>
            <sz val="9"/>
            <rFont val="Tahoma"/>
            <family val="0"/>
          </rPr>
          <t>Manila:</t>
        </r>
        <r>
          <rPr>
            <sz val="9"/>
            <rFont val="Tahoma"/>
            <family val="0"/>
          </rPr>
          <t xml:space="preserve">
quota tfr 1931,16 (+20,78 pagati dell'anno prec. Come imposta sostitutiva = 1951,94) - acconto imposta sost. Tfr 57,49=1873,67. Se tolgo il saldo imposta sostitutiva tfr euro 33,97 da pagare il 16/2/18 porta 1839,70 pari all'incremento del fondo tfr: fondo al 31/12/16 euro 25641,19, fondo al 31/12/17 euro 27480,49, variazione 1839,70.
</t>
        </r>
      </text>
    </comment>
    <comment ref="I111" authorId="0">
      <text>
        <r>
          <rPr>
            <b/>
            <sz val="9"/>
            <rFont val="Tahoma"/>
            <family val="0"/>
          </rPr>
          <t>Manila:</t>
        </r>
        <r>
          <rPr>
            <sz val="9"/>
            <rFont val="Tahoma"/>
            <family val="0"/>
          </rPr>
          <t xml:space="preserve">
va indicato il saldo imposta sostitutiva tfr</t>
        </r>
      </text>
    </comment>
    <comment ref="C111" authorId="0">
      <text>
        <r>
          <rPr>
            <b/>
            <sz val="9"/>
            <rFont val="Tahoma"/>
            <family val="0"/>
          </rPr>
          <t>Manila:</t>
        </r>
        <r>
          <rPr>
            <sz val="9"/>
            <rFont val="Tahoma"/>
            <family val="0"/>
          </rPr>
          <t xml:space="preserve">
lordo fondo + saldo imposta sostitutiva anno 2016 euro 20,78 nn stanziato anno prec.</t>
        </r>
      </text>
    </comment>
    <comment ref="E72" authorId="0">
      <text>
        <r>
          <rPr>
            <b/>
            <sz val="9"/>
            <rFont val="Tahoma"/>
            <family val="0"/>
          </rPr>
          <t>Manila:</t>
        </r>
        <r>
          <rPr>
            <sz val="9"/>
            <rFont val="Tahoma"/>
            <family val="0"/>
          </rPr>
          <t xml:space="preserve">
ft da ricevere xgroup del 31/12/17</t>
        </r>
      </text>
    </comment>
    <comment ref="E32" authorId="0">
      <text>
        <r>
          <rPr>
            <b/>
            <sz val="9"/>
            <rFont val="Tahoma"/>
            <family val="2"/>
          </rPr>
          <t>Manila:</t>
        </r>
        <r>
          <rPr>
            <sz val="9"/>
            <rFont val="Tahoma"/>
            <family val="2"/>
          </rPr>
          <t xml:space="preserve">
errato bonifico a dicembre fatto per 260 euro in meno</t>
        </r>
      </text>
    </comment>
    <comment ref="E49" authorId="0">
      <text>
        <r>
          <rPr>
            <b/>
            <sz val="9"/>
            <rFont val="Tahoma"/>
            <family val="2"/>
          </rPr>
          <t>Manila:</t>
        </r>
        <r>
          <rPr>
            <sz val="9"/>
            <rFont val="Tahoma"/>
            <family val="2"/>
          </rPr>
          <t xml:space="preserve">
ft da ric multiservizi
</t>
        </r>
      </text>
    </comment>
    <comment ref="E95" authorId="0">
      <text>
        <r>
          <rPr>
            <b/>
            <sz val="9"/>
            <rFont val="Tahoma"/>
            <family val="0"/>
          </rPr>
          <t>Manila:</t>
        </r>
        <r>
          <rPr>
            <sz val="9"/>
            <rFont val="Tahoma"/>
            <family val="0"/>
          </rPr>
          <t xml:space="preserve">
bollo su ft poste di 634,20 da pagare</t>
        </r>
      </text>
    </comment>
  </commentList>
</comments>
</file>

<file path=xl/sharedStrings.xml><?xml version="1.0" encoding="utf-8"?>
<sst xmlns="http://schemas.openxmlformats.org/spreadsheetml/2006/main" count="576" uniqueCount="466">
  <si>
    <t>ENTRATE</t>
  </si>
  <si>
    <t>PREVISIONI DI COMPETENZA</t>
  </si>
  <si>
    <t>PREVISIONI DI CASSA</t>
  </si>
  <si>
    <t>FONDO DI CASSA PRESUNTO</t>
  </si>
  <si>
    <t>TITOLO I - ENTRATE CORRENTI</t>
  </si>
  <si>
    <t>ENTRATE CONTRIBUTIVE A CARICO DEGLI ISCRITTI</t>
  </si>
  <si>
    <t>Quote Collegi</t>
  </si>
  <si>
    <t>Quote Collegi nuovi iscritti</t>
  </si>
  <si>
    <t>TOTALE ENTRATE CONTRIBUTIVE A CARICO DEGLI ISCRITTI</t>
  </si>
  <si>
    <t>ENTRATE PER INIZIATIVE CULTURALI ED AGGIORNAMENTI PROFESSIONALI</t>
  </si>
  <si>
    <t>Corsi di aggiornamento</t>
  </si>
  <si>
    <t>Seminari di studio</t>
  </si>
  <si>
    <t>TOTALE ENTRATE PER INIZIATIVE CULTURALI ED AGGIORNAMENTI PROFESSIONALI</t>
  </si>
  <si>
    <t>QUOTE DI PARTEICPAZIONE DEGLI ISCRITTI ALL'ONERE DI PARTICOLARI GESTIONI</t>
  </si>
  <si>
    <t>Tessere distintivi bolli auto</t>
  </si>
  <si>
    <t>TOTALE QUOTE DI PARTEICPAZIONE DEGLI ISCRITTI ALL'ONERE DI PARTICOLARI GESTIONI</t>
  </si>
  <si>
    <t>TRASFERIMENTI CORRENTI DA PARTE DELLO STATO - PROVINCIE-REGIONI-COMUNI - ATLRI ENTI PUBBLICI</t>
  </si>
  <si>
    <t>TOTALE TRASFERIMENTI CORRENTI DA PARTE DELLO STATO</t>
  </si>
  <si>
    <t>ENTRATE DERIVANTI DALLA VENDITA DI BENI E DALLA PRESTAZIONE DI SERVIZI</t>
  </si>
  <si>
    <t>Vendita pubblicazioni</t>
  </si>
  <si>
    <t>TOTALE ENTRATE DERIVANTI DALLA VENDITA DI BENI E PRESTAZIONE DI SERVIZI</t>
  </si>
  <si>
    <t>REDDITI E PROVENTI PATRIMONIALI</t>
  </si>
  <si>
    <t>Interessi attivi su depositi e conti correnti</t>
  </si>
  <si>
    <t>TOTALE REDDITI E PROVENTI PATRIMONIALI</t>
  </si>
  <si>
    <t>POSTE CORRETTIVE E COMPENSATIVE DI USCITE CORRENTI</t>
  </si>
  <si>
    <t>Recuperi e rimborsi</t>
  </si>
  <si>
    <t>TOTALE POSTE CORRETTIVE E COMPENSATIVE DI USCITE CORRENTI</t>
  </si>
  <si>
    <t>ENTRATE NON CLASSIFICABILI IN ALTRE VOCI</t>
  </si>
  <si>
    <t>Entrate diverse</t>
  </si>
  <si>
    <t>TOTALE ENTRATE NON CLASSIFICABILI IN ALTRE VOCI</t>
  </si>
  <si>
    <t>TOTALE ENTRATE CORRENTI</t>
  </si>
  <si>
    <t>TITOLO II - ENTRATE IN CONTO CAPITALE</t>
  </si>
  <si>
    <t>ALIENAZIONE DI IMMOBILI E DIRITTI REALI</t>
  </si>
  <si>
    <t>Alienazioni immobili</t>
  </si>
  <si>
    <t>TOTALE ALIENAZIONE IMMOBILI E DIRITTI REALI</t>
  </si>
  <si>
    <t>ALIENAZIONE IMMOBILIZZAZIONI TECNICHE</t>
  </si>
  <si>
    <t>Vendita mobili e arredi</t>
  </si>
  <si>
    <t>TOTALE ALIENAZIONI IMMOBILIZZAZIONI TECNICHE</t>
  </si>
  <si>
    <t>RISCOSSIONE CREDITI</t>
  </si>
  <si>
    <t>Depositi cauzionali</t>
  </si>
  <si>
    <t>TOTALE REALIZZO DI VALORI MOBILIARI</t>
  </si>
  <si>
    <t>TRASFERIMENTI IN CONTO CAPITALE DA PARTE DELLO STATO-PROVINCIE-REGIONI-COMUNI E ALTRI E.P.</t>
  </si>
  <si>
    <t>Trasferimenti in conto capitale ex legge ……………</t>
  </si>
  <si>
    <t>ASSUNZIONE DI MUTUI</t>
  </si>
  <si>
    <t>Accensione mutuo n. ……………….</t>
  </si>
  <si>
    <t>TOTALE ASSUNZIONE DI MUTUI</t>
  </si>
  <si>
    <t>ASSUNZIONE DI ALTRI DEBITI FINANZIARI</t>
  </si>
  <si>
    <t>Assunzione debito finanziario n.</t>
  </si>
  <si>
    <t>TOTALE ASSUNZIONE DI ALTRI DEBITI FINANZIARI</t>
  </si>
  <si>
    <t>TOTALE ENTRATE IN CONTO CAPITALE</t>
  </si>
  <si>
    <t>TITOLO III - PARTITE DI GIRO</t>
  </si>
  <si>
    <t>ENTRATE AVENTI NATURA DI PARTITE DI GIRO</t>
  </si>
  <si>
    <t>Altre partite di giro</t>
  </si>
  <si>
    <t>……………………………………</t>
  </si>
  <si>
    <t>TOTALE ENTRATE PER PARTITE DI GIRO</t>
  </si>
  <si>
    <t>TOTALE ENTRATE COMPLESSIVE</t>
  </si>
  <si>
    <t>UTILIZZO DELL'AVANZO DI AMMINISTRAZIONE</t>
  </si>
  <si>
    <t>UTILIZZO DELL'AVANZO DI CASSA</t>
  </si>
  <si>
    <t>TOTALE TRASFERIMENTI IN CONTO CAPIALE DA PARTE DELLO STATO</t>
  </si>
  <si>
    <t>TOTALE GENERALE</t>
  </si>
  <si>
    <t>----</t>
  </si>
  <si>
    <t>-----</t>
  </si>
  <si>
    <t>USCITE</t>
  </si>
  <si>
    <t>TITOLO I - USCITE CORRENTI</t>
  </si>
  <si>
    <t>USCITE PER GLI ORGANI DEL COLLEGIO</t>
  </si>
  <si>
    <t>Gettoni, trasferte e indennità di funzione</t>
  </si>
  <si>
    <t>Rimborsi spese</t>
  </si>
  <si>
    <t>Spese elezioni</t>
  </si>
  <si>
    <t>Assicurazioni Organi Statutari</t>
  </si>
  <si>
    <t>Oneri previdenziali</t>
  </si>
  <si>
    <t>Consiglio nazionale</t>
  </si>
  <si>
    <t>TOTALE USCITE PER GLI ORGANI DELL'ENTE</t>
  </si>
  <si>
    <t>USCITE PER IL PERSONALE IN ATTIVITA' DI SERVIZIO</t>
  </si>
  <si>
    <t>Stipendi e oneri riflessi</t>
  </si>
  <si>
    <t>Fondo incentivazione</t>
  </si>
  <si>
    <t>Assicurazione personale dipendente</t>
  </si>
  <si>
    <t>Corsi di formazione</t>
  </si>
  <si>
    <t>TOTALE ONERI PER IL PERSONALE DIPENDENTE</t>
  </si>
  <si>
    <t>Acquisti libri riviste giornali e altre pubblicazioni</t>
  </si>
  <si>
    <t>Bolli tessere e distintivi</t>
  </si>
  <si>
    <t>Consulenze legali</t>
  </si>
  <si>
    <t>Consulenze amministrative</t>
  </si>
  <si>
    <t>Consulenze informatiche</t>
  </si>
  <si>
    <t>Spese notarili</t>
  </si>
  <si>
    <t>TOTALE USCITE PER L'ACQUISTO DI BENI DI CONSUMO E SERVIZI</t>
  </si>
  <si>
    <t>USCITE PER L'ACQUISTO DI BENI DI CONSUMO E SERVIZI</t>
  </si>
  <si>
    <t>USCITE PER FUNZIONAMENTO UFFICI</t>
  </si>
  <si>
    <t>Cancelleria e stampati</t>
  </si>
  <si>
    <t>Spese di pulizia</t>
  </si>
  <si>
    <t>Assicurazioni varie e vigilanza</t>
  </si>
  <si>
    <t>Spese di trasporto e spostamento</t>
  </si>
  <si>
    <t>Spese varie</t>
  </si>
  <si>
    <t>TOTALE USCITE PER FUNZIONAMENTO UFFICI</t>
  </si>
  <si>
    <t>USCITE PER PRESTAZIONI ISTITUZIONALI</t>
  </si>
  <si>
    <t>Rapporti istituzionali</t>
  </si>
  <si>
    <t>Spese di rappresentanza</t>
  </si>
  <si>
    <t>Commissione esercenti</t>
  </si>
  <si>
    <t>Contributi diversi e rimborsi</t>
  </si>
  <si>
    <t>TOTALE USCITE PER PRESTAZIONI ISTITUZIONALI</t>
  </si>
  <si>
    <t>TRASFERIMENTI PASSIVI</t>
  </si>
  <si>
    <t>Interventi assistenziali a favore di particolari categorie di iscritti</t>
  </si>
  <si>
    <t>TOTALE TRASFERIMENTI PASSIVI</t>
  </si>
  <si>
    <t>ONERI FINANZIARI</t>
  </si>
  <si>
    <t>Spese e commissioni bancarie</t>
  </si>
  <si>
    <t>Interessi passivi</t>
  </si>
  <si>
    <t>TOTALE ONERI FINANZIARI</t>
  </si>
  <si>
    <t>ONERI TRIBUTARI</t>
  </si>
  <si>
    <t>Imposte e tasse</t>
  </si>
  <si>
    <t>TOTALE ONERI TRIBUTARI</t>
  </si>
  <si>
    <t>POSTE CORRETTIVE E COMPENSATIVE DI ENTRATE CORRENTI</t>
  </si>
  <si>
    <t>Rimborsi vari</t>
  </si>
  <si>
    <t>TOTALE POSTE COMPENSATIVE DI ENTRATE CORRENTI</t>
  </si>
  <si>
    <t>USCITE NON CLASSIFICABILI IN ALTRE VOCI</t>
  </si>
  <si>
    <t>TOTALE USCITE NON CLASSIFICABILI IN ALTRE VOCI</t>
  </si>
  <si>
    <t>ACCANTONAMENTO AL TRATTAMENTO DI FINE RAPPORTO</t>
  </si>
  <si>
    <t>Accantonamento al trattamento di fine rapporto per dipendenti</t>
  </si>
  <si>
    <t>TOTALE ACCANTONAMENTI AL TRATTAMENTO DI FINE RAPPORTO</t>
  </si>
  <si>
    <t>ACCANTONAMENTO A FONDO RISCHI ED ONERI</t>
  </si>
  <si>
    <t>Accantonamento a fondo svalutazione crediti</t>
  </si>
  <si>
    <t>TOTALE ACCANTONAMENTO A FONDO RISCHI E ONERI</t>
  </si>
  <si>
    <t>TOTALE USCITE CORRENTI</t>
  </si>
  <si>
    <t>COLLEGIO I.P.A.S.V.I. DI ANCONA</t>
  </si>
  <si>
    <t>TITOLO II - USCITE IN CONTO CAPITALE</t>
  </si>
  <si>
    <t>ACQUISIZIONE DI BENI DI USO DUREVOLE ED OPERE IMMOBILIARI</t>
  </si>
  <si>
    <t>Acquisto immobili</t>
  </si>
  <si>
    <t>Acquisto mobili</t>
  </si>
  <si>
    <t>Manutenzione immobili</t>
  </si>
  <si>
    <t>TOTALE ACQUISIZIONE DI BENI DI USO DUREVOLE ED OPERE MOBILIARI</t>
  </si>
  <si>
    <t>ACQUISIZIONE IMMOBILIZZAZIONI TECNICHE</t>
  </si>
  <si>
    <t>Acquisto programmi informatici</t>
  </si>
  <si>
    <t>Acquisto attrezzature informatiche</t>
  </si>
  <si>
    <t>TOTALE ACQUISIZIONI DI IMMOBILIZZAZIONI TECNICHE</t>
  </si>
  <si>
    <t>CONCESSIONE DI CREDITI E ANTICIPAZIONI</t>
  </si>
  <si>
    <t>TOTALE CONCESSIONE DI CREDITI E ANTICIPAZIONI</t>
  </si>
  <si>
    <t>RIMBORSI MUTUI</t>
  </si>
  <si>
    <t>Rate di rimborso mutuo n.</t>
  </si>
  <si>
    <t>TOTALE RIMBORSI DI MUTUI</t>
  </si>
  <si>
    <t>RIMBORSI DI ANTICIPAZIONI PASSIVE</t>
  </si>
  <si>
    <t>Rate di rimborso anticipazioni passive n.</t>
  </si>
  <si>
    <t>TOTALE RIMBORSI DI ANTICIPAZIONI PASSIVE</t>
  </si>
  <si>
    <t>ESTINZIONE DI DEBITI</t>
  </si>
  <si>
    <t>Estinzione debito finanziario n. ………..</t>
  </si>
  <si>
    <t>TOTALE ESTINZIONE DEBITI DIVERSI</t>
  </si>
  <si>
    <t>ACCANTONAMENTO SPESE FUTURE</t>
  </si>
  <si>
    <t>Accantonamento spese future</t>
  </si>
  <si>
    <t>TOTALE ACCANTONAMENTI PER SPESE FUTURE</t>
  </si>
  <si>
    <t>ACCANTONAMENTO PER RIPRISTINO INVESTIMENTI</t>
  </si>
  <si>
    <t>Accantonamento per manutenzioni</t>
  </si>
  <si>
    <t>TOTALE ACCANTONAMENTO PER RIPRISTINO INVESTIMENTI</t>
  </si>
  <si>
    <t>TOTALE USCITE IN CONTO CAPITALE</t>
  </si>
  <si>
    <t>USCITE AVENTI NATURA DI PARTITE DI GIRO</t>
  </si>
  <si>
    <t>TOTALE USCITE PER PARTITE DI GIRO</t>
  </si>
  <si>
    <t>TOTALE USCITE COMPLESSIVE</t>
  </si>
  <si>
    <t>AVANZO DI AMMINISTRAZIONE</t>
  </si>
  <si>
    <t>AVANZO DI CASSA</t>
  </si>
  <si>
    <t>A) TOTALE ENTRATE CORRENTI</t>
  </si>
  <si>
    <t>B) TOTALE ENTRATE IN CONTO CAPITALE</t>
  </si>
  <si>
    <t>C) TOTALE ENTRATE PER PARTITE DI GIRO</t>
  </si>
  <si>
    <t>( A+B+C ) TOTALE ENTRATE COMPLESSIVE</t>
  </si>
  <si>
    <t>A1) TOTALE USCITE CORRENTI</t>
  </si>
  <si>
    <t>B1) TOTALE USCITE IN CONTO CAPITALE</t>
  </si>
  <si>
    <t>C1) TOTALE USCITE PER PARTITE DI GIRO</t>
  </si>
  <si>
    <t>(A1+B1+C1) TOTALE USCITE COMPLESSIVE</t>
  </si>
  <si>
    <t>COPERTURA DISAVANZO DI AMMINISTRAZIONE INIZIALE</t>
  </si>
  <si>
    <t>TABELLA DIMOSTRATIVA DEL PRESUNTO RISULTATO DI AMMINISTRAZIONE</t>
  </si>
  <si>
    <t>RISTULTATO DI AMMINISTRAZIONE PRESUNTO</t>
  </si>
  <si>
    <t>FONDO CASSA INIZIALE</t>
  </si>
  <si>
    <t>+ RESIDUI ATTIVI INIZIALI</t>
  </si>
  <si>
    <t>- RESIDUI PASSIVI INIZIALI</t>
  </si>
  <si>
    <t>= AVANZO / DISAVANZO DI AMMINISTRAZIONE INIZIALE</t>
  </si>
  <si>
    <t>+ ENTRATE GIA' ACCERTATE NELL'ESERCIZIO</t>
  </si>
  <si>
    <t>- USCITE GIA' IMPEGNATE NELL'ESERCIZIO</t>
  </si>
  <si>
    <t>+/- VARIAZIONI DEI RESIDUI ATTIVI GIA' VERIFICATASI NELL'ESERCIZIO</t>
  </si>
  <si>
    <t>= AVANZO / DISAVANZO DI AMM.NE ALLA DATA DI REDAZIONE DEL BILANCIO</t>
  </si>
  <si>
    <t>+ ENTRATE PRESUNTE ACCERTATE PER IL RESTANTE PERIODO</t>
  </si>
  <si>
    <t>- USCITE PRESUNTE IMPEGNATE PER IL RESTANTE PERIODO</t>
  </si>
  <si>
    <t>+/- VARIAZIONE DEI RESIDUI ATTIVI PRESUNTE PER IL RESTANTE PERIODO</t>
  </si>
  <si>
    <t>+/- VARIAIONE DEI RESIDUI PASSIVI PRESUNTE PER IL RESTANTE PERIODO</t>
  </si>
  <si>
    <t>+ ENTRATE GIA' INCASSATE NELL'ESERCIZIO</t>
  </si>
  <si>
    <t>- USCITE GIA' PAGATE NELL'ESERCIZIO</t>
  </si>
  <si>
    <t>= FONDO DI CASSA ALLA DATA DI REDAZIONE DEL BILANCIO</t>
  </si>
  <si>
    <t>+ ENTRATE PRESUNTE INCASSATE PER IL RESTANTE PERIODO</t>
  </si>
  <si>
    <t>- USCITE PRESUNTE PAGATE PER IL RESTANTE PERIODO</t>
  </si>
  <si>
    <t>Quote iscritti</t>
  </si>
  <si>
    <t>Locazioni attive</t>
  </si>
  <si>
    <t>Oneri sociali</t>
  </si>
  <si>
    <t>Fondo finalizzato per coordinamenti regionali</t>
  </si>
  <si>
    <t>quote alla federazione</t>
  </si>
  <si>
    <t>Consulenze sicurezza sul lavoro</t>
  </si>
  <si>
    <t>Accantonamento fondo rischi contenziosi legali</t>
  </si>
  <si>
    <t>Licenze uso software</t>
  </si>
  <si>
    <t>irap</t>
  </si>
  <si>
    <t>sopravvenienze passive</t>
  </si>
  <si>
    <t>Consulenza del lavoro</t>
  </si>
  <si>
    <t>Affitto</t>
  </si>
  <si>
    <t xml:space="preserve">luce </t>
  </si>
  <si>
    <t>acqua</t>
  </si>
  <si>
    <t>Telefoniche</t>
  </si>
  <si>
    <t xml:space="preserve">Spese postali </t>
  </si>
  <si>
    <t>Progetto solidarietà</t>
  </si>
  <si>
    <t xml:space="preserve">Manutenzioni e riparazioni </t>
  </si>
  <si>
    <t>Canoni di noleggio (fotocopiatrice)</t>
  </si>
  <si>
    <t>condominio</t>
  </si>
  <si>
    <t>Materiale di ferramenta</t>
  </si>
  <si>
    <t>Servizio fatturazione elettronica</t>
  </si>
  <si>
    <t>Insegnante di italiano</t>
  </si>
  <si>
    <t>Fondo spese impreviste (3% uscite correnti+c/capitale al netto fondo spese)</t>
  </si>
  <si>
    <t>= AVANZO / DISAVANZO DI AMMINISTRAZIONE PRESUNTO AL 31/12/2014 DA APPLICARE AL BILANCIO DELL'ANNO 31/12/2015</t>
  </si>
  <si>
    <t>A) Valore della produzione</t>
  </si>
  <si>
    <t>B) Costi della produzione</t>
  </si>
  <si>
    <t>C) Proventi e oneri finanziari</t>
  </si>
  <si>
    <t>D) Rettifiche di valore di attività finanziarie</t>
  </si>
  <si>
    <t>E) Proventi e oneri straordinari</t>
  </si>
  <si>
    <t>23) Utile (Perdita) dell'esercizio</t>
  </si>
  <si>
    <t>2)Variazione delle rimanenze dei prodotti in corso di lavorazione semilavorati e finiti</t>
  </si>
  <si>
    <t xml:space="preserve">3) Variazione dei lavori in corso su ordinazione </t>
  </si>
  <si>
    <t>4)Incrementi immobilizzazioni per lavori interni</t>
  </si>
  <si>
    <t>11) Variazione delle rimanenze di materie prime sussidiarie di consumo e merci</t>
  </si>
  <si>
    <t>12) Accantonamenti per rischi</t>
  </si>
  <si>
    <t>13) Accantonamenti ai fondi per oneri</t>
  </si>
  <si>
    <t>15) Proventi da partecipazioni</t>
  </si>
  <si>
    <t>17-bis) Utili e perdite su cambi</t>
  </si>
  <si>
    <t>18) Rivalutazioni</t>
  </si>
  <si>
    <t>19) Svalutazioni</t>
  </si>
  <si>
    <t>DIFFERENZA TRA VALORE E COSTI DELLA PRODUZIONE (A-B)</t>
  </si>
  <si>
    <t>TOTALE VALORE DELLA PRODUZIONE (A)</t>
  </si>
  <si>
    <t>TOTALE COSTI DELLA PRODUZIONE (B)</t>
  </si>
  <si>
    <t>TOTALE PROVENTI E ONERI FINANZIARI (15+16+17+17BIS)</t>
  </si>
  <si>
    <t xml:space="preserve">TOTALE RETTIFICHE DI VALORE </t>
  </si>
  <si>
    <t>22) sopravvenienze attive ed insussistenze del passivo</t>
  </si>
  <si>
    <t>23) sopavvenienze passive ed insussistenze dell'attivo</t>
  </si>
  <si>
    <t>TOTALE DELLE PARTITE STRAORDINARIE</t>
  </si>
  <si>
    <t>TOTALE PRIMA DELLE IMPOSTE (A-B+/-C+/-D+/-E)</t>
  </si>
  <si>
    <t>1) Ricavi delle vendite e delle prestazioni</t>
  </si>
  <si>
    <t>5) Altri ricavi e proventi</t>
  </si>
  <si>
    <t>6) Per materie prime, sussidiarie, di consumo e di merci</t>
  </si>
  <si>
    <t>7) Per servizi</t>
  </si>
  <si>
    <t>8) Per godimento di beni di terzi</t>
  </si>
  <si>
    <t>9) Per il personale</t>
  </si>
  <si>
    <t>10) Ammortamenti e svalutazioni</t>
  </si>
  <si>
    <t>14) Oneri diversi di gestione</t>
  </si>
  <si>
    <t>16) Altri proventi finanziari</t>
  </si>
  <si>
    <t>17) Interessi e altri oneri finanziari</t>
  </si>
  <si>
    <t>20) Proventi</t>
  </si>
  <si>
    <t>21) Oneri</t>
  </si>
  <si>
    <t>Imposte sul reddito dell'esercizio</t>
  </si>
  <si>
    <t>crediti al 31/12/14</t>
  </si>
  <si>
    <t>debiti al 31/12/14</t>
  </si>
  <si>
    <t>= FONDO DI CASSA PRESUNTO AL 31/12/2014 DA  APPLICARE AL BILANCIO DELL'ANNO 2015</t>
  </si>
  <si>
    <t xml:space="preserve">entrate di cassa gennaio </t>
  </si>
  <si>
    <t xml:space="preserve">entrate di cassa febbraio </t>
  </si>
  <si>
    <t xml:space="preserve">entrate di cassa marzo </t>
  </si>
  <si>
    <t>entrate di cassa aprile</t>
  </si>
  <si>
    <t>entrate di cassa maggio</t>
  </si>
  <si>
    <t>saldo incassi al 31/5/15</t>
  </si>
  <si>
    <t>prelievi di cassa</t>
  </si>
  <si>
    <t>cassa entrate</t>
  </si>
  <si>
    <t>uscite di cassa gennaio</t>
  </si>
  <si>
    <t>uscite di cassa febbraio</t>
  </si>
  <si>
    <t>uscite di cassa marzo</t>
  </si>
  <si>
    <t>uscite di cassa aprile</t>
  </si>
  <si>
    <t>uscite di cassa maggio</t>
  </si>
  <si>
    <t>saldo uscite al 31/5/15</t>
  </si>
  <si>
    <t>cassa uscite</t>
  </si>
  <si>
    <t>versamento in banca</t>
  </si>
  <si>
    <t>banca entrate</t>
  </si>
  <si>
    <t>totale reversali al 31/5/15</t>
  </si>
  <si>
    <t>SALDO REVERSALI</t>
  </si>
  <si>
    <t>banca USCITE</t>
  </si>
  <si>
    <t>mandati al 31/5/15</t>
  </si>
  <si>
    <t>SALDO MANDATI AL 31/5/15</t>
  </si>
  <si>
    <t>ENTRATE ACCERTATE AL 31/5/15</t>
  </si>
  <si>
    <t>USCITE IMPEGNATE AL31/5/15</t>
  </si>
  <si>
    <t>SOMMA DELLE REVERSALI AL 31/5</t>
  </si>
  <si>
    <t>SOMMA DEI MANDATI AL 31/5</t>
  </si>
  <si>
    <t>-/+ VARIAZIONI DEI RESIDUI PASSIVI GIA' VERIFICATASI NELL'ESERCIZIO</t>
  </si>
  <si>
    <t>PREVENTIVO ECONOMICO 2015</t>
  </si>
  <si>
    <t>UTILIZZO DELL'AVANZO DI AMM.NE PER L'ESERCIZIO 2015:</t>
  </si>
  <si>
    <t>Parte vincolata:</t>
  </si>
  <si>
    <t>ai fondi per rischi ed oneri</t>
  </si>
  <si>
    <t>per i seguenti vincoli</t>
  </si>
  <si>
    <t>Parte disponibile:</t>
  </si>
  <si>
    <t>Parte di cui si prevede l'utilizzo nell'esercizio 2015</t>
  </si>
  <si>
    <t>Parte di cui non si prevede l'utilizzo nell'esercizio 2015</t>
  </si>
  <si>
    <t>Totale parte disponibile</t>
  </si>
  <si>
    <t>Totale risultato di amministrazione presunto</t>
  </si>
  <si>
    <t>PROSPETTO DELLE MOVIMENTAZIONI FINANZIARIE</t>
  </si>
  <si>
    <t>DA BILANCIO 2015</t>
  </si>
  <si>
    <t>COMPETENZA 2015 USCITE FIN 2014</t>
  </si>
  <si>
    <t>COMPETENZA 2015 USCITA 2016</t>
  </si>
  <si>
    <t>COMPETENZA 2014 USCITE 2015</t>
  </si>
  <si>
    <t>TOTALE (A-B-C+D)</t>
  </si>
  <si>
    <t>A</t>
  </si>
  <si>
    <t>B</t>
  </si>
  <si>
    <t>C</t>
  </si>
  <si>
    <t>D</t>
  </si>
  <si>
    <t>Acquisti di materiali di consumo</t>
  </si>
  <si>
    <t>Beni di valore infer. 516,46 euro</t>
  </si>
  <si>
    <t>Cancelleria</t>
  </si>
  <si>
    <t>Materiale pubblicitario</t>
  </si>
  <si>
    <t>Bolli e distintivi</t>
  </si>
  <si>
    <t>altri costi</t>
  </si>
  <si>
    <t>Manutenzioni e riparazioni</t>
  </si>
  <si>
    <t>Energia elettrica</t>
  </si>
  <si>
    <t>Acqua potabile</t>
  </si>
  <si>
    <t>Spese telefoniche</t>
  </si>
  <si>
    <t>Spese postali</t>
  </si>
  <si>
    <t>Consulenze tecniche</t>
  </si>
  <si>
    <t>Servizi amministrativi</t>
  </si>
  <si>
    <t>Servizi vari commerciali</t>
  </si>
  <si>
    <t>Spese legali e notarili</t>
  </si>
  <si>
    <t>Spese viaggio</t>
  </si>
  <si>
    <t>Spese di ricerca e formazione</t>
  </si>
  <si>
    <t>Spese per servizi bancari</t>
  </si>
  <si>
    <t>Consulenze contabili e fiscali</t>
  </si>
  <si>
    <t>Prestazioni occasionali</t>
  </si>
  <si>
    <t>Spese condominiali</t>
  </si>
  <si>
    <t>ALTRI SERVIZI</t>
  </si>
  <si>
    <t>RIMBORSI CHILOMETRICI</t>
  </si>
  <si>
    <t>SERVIZI DI PULIZIA</t>
  </si>
  <si>
    <t>Gestione sito internet</t>
  </si>
  <si>
    <t>Affitti e locazioni</t>
  </si>
  <si>
    <t>Canoni di noleggio</t>
  </si>
  <si>
    <t>Stipendi e salari</t>
  </si>
  <si>
    <t>Contributi su stipendi e salari</t>
  </si>
  <si>
    <t>Accantonamento TFR</t>
  </si>
  <si>
    <t>Altri costi del personale</t>
  </si>
  <si>
    <t>Ammortamento concessioni e licenze</t>
  </si>
  <si>
    <t>Ammortamento migliorie beni terzi</t>
  </si>
  <si>
    <t>Ammortamento ordin. mobili ed arr.</t>
  </si>
  <si>
    <t>Ammortamento ordinario macchine uff</t>
  </si>
  <si>
    <t>Accantonamenti per rischi ed oneri</t>
  </si>
  <si>
    <t>Acquisti di giornali e riviste</t>
  </si>
  <si>
    <t>Imposta di bollo</t>
  </si>
  <si>
    <t>Imposta di registro</t>
  </si>
  <si>
    <t>Tasse di concessione governativa</t>
  </si>
  <si>
    <t>Altre imposte e tasse</t>
  </si>
  <si>
    <t>Multe ed ammende</t>
  </si>
  <si>
    <t>Altri oneri di gestione</t>
  </si>
  <si>
    <t>Arrotondamenti passivi</t>
  </si>
  <si>
    <t>Contributi di assoc. di categoria</t>
  </si>
  <si>
    <t>TARI</t>
  </si>
  <si>
    <t>QUOTE ALLA FEDERAZIONE</t>
  </si>
  <si>
    <t>Altri interessi passivi</t>
  </si>
  <si>
    <t>Spese diverse bancarie</t>
  </si>
  <si>
    <t>Sopravvenienze passive</t>
  </si>
  <si>
    <t>IRAP</t>
  </si>
  <si>
    <t>TOTALE</t>
  </si>
  <si>
    <t>COMPETENZA 2015 ENTRATE FIN 2014</t>
  </si>
  <si>
    <t>COMPETENZA 2015 ENTRATA 2016</t>
  </si>
  <si>
    <t>COMPETENZA 2014 ENTRATE 2015</t>
  </si>
  <si>
    <t>Quota iscrizione ordine</t>
  </si>
  <si>
    <t>Arrotondamenti attivi</t>
  </si>
  <si>
    <t>Recuperi e rimborsi vari</t>
  </si>
  <si>
    <t>Tesserini, bolli auto, certificati</t>
  </si>
  <si>
    <t>Esame cittadini stranieri</t>
  </si>
  <si>
    <t>Affitti attivi</t>
  </si>
  <si>
    <t>Interessi attivi su c/c bancari</t>
  </si>
  <si>
    <t>Sopravvenienze attive</t>
  </si>
  <si>
    <t>RISULTATO D'ESERCIZIO</t>
  </si>
  <si>
    <t>SOMME IMPEGNATE</t>
  </si>
  <si>
    <t>DA PAGARE</t>
  </si>
  <si>
    <t>IMPEGNATO  B</t>
  </si>
  <si>
    <t>PAGATO C</t>
  </si>
  <si>
    <t>DA PAGARE D</t>
  </si>
  <si>
    <t>INIZIALI</t>
  </si>
  <si>
    <t>VARIAZIONI</t>
  </si>
  <si>
    <t>PAGATI</t>
  </si>
  <si>
    <t>RESIDUI FINALI</t>
  </si>
  <si>
    <t>GESTIONE DI CASSA</t>
  </si>
  <si>
    <t>TOTALE PAGATO</t>
  </si>
  <si>
    <t>GESTIONE RESIDUI</t>
  </si>
  <si>
    <t>SCOSTAMENTO (A-B)</t>
  </si>
  <si>
    <t>UTILIZZO FONDO SPESE IMPREVISTI</t>
  </si>
  <si>
    <t>ACCERTATE  B</t>
  </si>
  <si>
    <t>INCASSATE C</t>
  </si>
  <si>
    <t>DA INCASSARE D</t>
  </si>
  <si>
    <t>RISCOSSI</t>
  </si>
  <si>
    <t>DA RISCUOTERE</t>
  </si>
  <si>
    <t>TOTALE INCASSI</t>
  </si>
  <si>
    <t>SCOSTAMENTO (B-A)</t>
  </si>
  <si>
    <t>assicurazione lsu</t>
  </si>
  <si>
    <t>Manutenzione estintori</t>
  </si>
  <si>
    <t>insenga</t>
  </si>
  <si>
    <t>Rivista/giornale</t>
  </si>
  <si>
    <t>Web</t>
  </si>
  <si>
    <t>Formazione</t>
  </si>
  <si>
    <t>Ricerca</t>
  </si>
  <si>
    <t>ires</t>
  </si>
  <si>
    <t>Gestione sito internet e protocollo informatico</t>
  </si>
  <si>
    <t>rit. Dip. Impegnato</t>
  </si>
  <si>
    <t>contrib. Dip. Imp</t>
  </si>
  <si>
    <t>ritenute sindacali</t>
  </si>
  <si>
    <t>Ritenute erariali e previdenziali e altre</t>
  </si>
  <si>
    <t>contributo ipasvi naz</t>
  </si>
  <si>
    <t>Ritenute erariali previdenziali e altre</t>
  </si>
  <si>
    <t>ritenuta baldassari</t>
  </si>
  <si>
    <t>ritenuta gagliarde</t>
  </si>
  <si>
    <t>ritenuta la gatta</t>
  </si>
  <si>
    <t>ritenuta de marco</t>
  </si>
  <si>
    <t>ritenuta mari m.</t>
  </si>
  <si>
    <t>ritenuta forgioni</t>
  </si>
  <si>
    <t>ritenuta gabbanelli</t>
  </si>
  <si>
    <t>ritenuta bellucci</t>
  </si>
  <si>
    <t>ritenuta galli</t>
  </si>
  <si>
    <t>enpapi carico galli</t>
  </si>
  <si>
    <t>ritenuta marcellini</t>
  </si>
  <si>
    <t>ritenuta menchise</t>
  </si>
  <si>
    <t>enpapi carico menchise</t>
  </si>
  <si>
    <t>ritenuta falli f.</t>
  </si>
  <si>
    <t>enpapi carico falli</t>
  </si>
  <si>
    <t>ritenuta canonico</t>
  </si>
  <si>
    <t>Immagine sociale</t>
  </si>
  <si>
    <t>SITUAZIONE AMMINISTRATIVA</t>
  </si>
  <si>
    <t>FONDI INIZIALI</t>
  </si>
  <si>
    <t>INCASSI DELL'ESERCIZIO</t>
  </si>
  <si>
    <t>entrate incassate conto competenza</t>
  </si>
  <si>
    <t>entrate incassate conto residui</t>
  </si>
  <si>
    <t>TOTALE 1+2</t>
  </si>
  <si>
    <t>uscite pagate conto competenza</t>
  </si>
  <si>
    <t>uscite pagate conto residui</t>
  </si>
  <si>
    <t>totale</t>
  </si>
  <si>
    <t>TOTALE 3-4 (FONDO CASSA)</t>
  </si>
  <si>
    <t>RESIDUI ATTIVI DELL'ESERCIZIO</t>
  </si>
  <si>
    <t>RESIDUI ATTIVI RIMASTI DA INCASSARE DALL'ANNO PREC</t>
  </si>
  <si>
    <t>RESIDUI PASSIVI RIMASTI DA PAGARE</t>
  </si>
  <si>
    <t>DIFFERENZA (TOTALE ATTIVI - TOTALE PASSIVI)</t>
  </si>
  <si>
    <t>AVANZO COMPLESSIVO (5+8)</t>
  </si>
  <si>
    <t>ENTRATE EFF. ACCERTATE</t>
  </si>
  <si>
    <t>SPESE EFFETTIVE IMPEGNATE</t>
  </si>
  <si>
    <t>AVANZO/ DISAVANZO ESERCIZIO IN DATA</t>
  </si>
  <si>
    <t>Nessun vincolo viene posto sull'avanzo di amministrazione</t>
  </si>
  <si>
    <t>RESIDUI PASSIVI DELL'ESERCIZIO</t>
  </si>
  <si>
    <t>differenza</t>
  </si>
  <si>
    <t>totale uscite</t>
  </si>
  <si>
    <t>uscite cassa netto giroconti</t>
  </si>
  <si>
    <t>uscite posta netto giroconti</t>
  </si>
  <si>
    <t>uscite banca netto giroconti</t>
  </si>
  <si>
    <t>entrate cassa netto giroconti da banca</t>
  </si>
  <si>
    <t>entrate posta netto giroconti</t>
  </si>
  <si>
    <t>entrate banca netto giroconti da cassa</t>
  </si>
  <si>
    <t>entrate dell'anno</t>
  </si>
  <si>
    <t>saldo iniziale</t>
  </si>
  <si>
    <t>posta</t>
  </si>
  <si>
    <t>cassa</t>
  </si>
  <si>
    <t>banca</t>
  </si>
  <si>
    <t>da pagare</t>
  </si>
  <si>
    <t>impegnato</t>
  </si>
  <si>
    <t>ritenute da aggiungere nel gruppo formazione per inserire il lordo compensi e poi le ritenute riportarle in partite di giro</t>
  </si>
  <si>
    <t>RISCOSSO</t>
  </si>
  <si>
    <t>ACCERTATO</t>
  </si>
  <si>
    <t>pagato</t>
  </si>
  <si>
    <t>saldo cassa iniziale+ titoli generali</t>
  </si>
  <si>
    <t>titoli generali</t>
  </si>
  <si>
    <t>RENDICONTO FINANZIARIO 2017</t>
  </si>
  <si>
    <t>Servizio privacy</t>
  </si>
  <si>
    <t>Smaltimento toner</t>
  </si>
  <si>
    <t>legale e rischi</t>
  </si>
  <si>
    <t>Trasferimenti correnti ex legge - Contributo Enpapi</t>
  </si>
  <si>
    <t>Rimborso quota parte imposta di registro su locazione</t>
  </si>
  <si>
    <t>bonus renzi</t>
  </si>
  <si>
    <t>contributo enpapi</t>
  </si>
  <si>
    <t>conto banco posta 1/1/17</t>
  </si>
  <si>
    <t>conto banca marche 1/1/17</t>
  </si>
  <si>
    <t>saldi al 31/12/17</t>
  </si>
  <si>
    <t>SOMME ACCERTATE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</si>
</sst>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-* #,##0.00\ [$€-410]_-;\-* #,##0.00\ [$€-410]_-;_-* &quot;-&quot;??\ [$€-410]_-;_-@_-"/>
    <numFmt numFmtId="169" formatCode="[$-410]dddd\ d\ mmmm\ yyyy"/>
    <numFmt numFmtId="170" formatCode="&quot;€&quot;\ #,##0.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Verdana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Verdana"/>
      <family val="2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7.7"/>
      <color theme="10"/>
      <name val="Calibri"/>
      <family val="2"/>
    </font>
    <font>
      <u val="single"/>
      <sz val="7.7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theme="1"/>
      <name val="Verdana"/>
      <family val="2"/>
    </font>
    <font>
      <sz val="10"/>
      <color theme="1"/>
      <name val="Calibri"/>
      <family val="2"/>
    </font>
    <font>
      <sz val="18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10"/>
      <color theme="1"/>
      <name val="Verdana"/>
      <family val="2"/>
    </font>
    <font>
      <sz val="10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9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0" xfId="0" applyAlignment="1">
      <alignment wrapText="1"/>
    </xf>
    <xf numFmtId="0" fontId="59" fillId="0" borderId="0" xfId="0" applyFont="1" applyAlignment="1">
      <alignment/>
    </xf>
    <xf numFmtId="0" fontId="60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6" fillId="0" borderId="12" xfId="0" applyFont="1" applyBorder="1" applyAlignment="1">
      <alignment horizontal="center" vertical="center"/>
    </xf>
    <xf numFmtId="44" fontId="0" fillId="0" borderId="13" xfId="61" applyFont="1" applyBorder="1" applyAlignment="1">
      <alignment/>
    </xf>
    <xf numFmtId="44" fontId="0" fillId="0" borderId="12" xfId="61" applyFont="1" applyBorder="1" applyAlignment="1">
      <alignment/>
    </xf>
    <xf numFmtId="44" fontId="0" fillId="0" borderId="14" xfId="61" applyFont="1" applyBorder="1" applyAlignment="1">
      <alignment/>
    </xf>
    <xf numFmtId="44" fontId="0" fillId="0" borderId="10" xfId="61" applyFont="1" applyBorder="1" applyAlignment="1">
      <alignment/>
    </xf>
    <xf numFmtId="44" fontId="0" fillId="0" borderId="15" xfId="61" applyFont="1" applyBorder="1" applyAlignment="1">
      <alignment horizontal="center" vertical="center"/>
    </xf>
    <xf numFmtId="44" fontId="0" fillId="0" borderId="14" xfId="61" applyFont="1" applyBorder="1" applyAlignment="1">
      <alignment horizontal="center" vertical="center"/>
    </xf>
    <xf numFmtId="44" fontId="0" fillId="33" borderId="16" xfId="61" applyFont="1" applyFill="1" applyBorder="1" applyAlignment="1">
      <alignment/>
    </xf>
    <xf numFmtId="44" fontId="0" fillId="0" borderId="15" xfId="61" applyFont="1" applyBorder="1" applyAlignment="1">
      <alignment/>
    </xf>
    <xf numFmtId="0" fontId="60" fillId="34" borderId="12" xfId="0" applyFont="1" applyFill="1" applyBorder="1" applyAlignment="1">
      <alignment horizontal="center"/>
    </xf>
    <xf numFmtId="44" fontId="0" fillId="34" borderId="15" xfId="61" applyFont="1" applyFill="1" applyBorder="1" applyAlignment="1">
      <alignment/>
    </xf>
    <xf numFmtId="44" fontId="0" fillId="0" borderId="13" xfId="61" applyFont="1" applyBorder="1" applyAlignment="1" quotePrefix="1">
      <alignment/>
    </xf>
    <xf numFmtId="0" fontId="60" fillId="0" borderId="12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44" fontId="0" fillId="0" borderId="16" xfId="61" applyFont="1" applyFill="1" applyBorder="1" applyAlignment="1">
      <alignment/>
    </xf>
    <xf numFmtId="0" fontId="0" fillId="0" borderId="0" xfId="0" applyFill="1" applyAlignment="1">
      <alignment/>
    </xf>
    <xf numFmtId="0" fontId="61" fillId="0" borderId="18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wrapText="1"/>
    </xf>
    <xf numFmtId="0" fontId="56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4" fontId="0" fillId="0" borderId="24" xfId="61" applyFont="1" applyBorder="1" applyAlignment="1">
      <alignment/>
    </xf>
    <xf numFmtId="0" fontId="60" fillId="0" borderId="23" xfId="0" applyFont="1" applyBorder="1" applyAlignment="1">
      <alignment horizontal="center" vertical="center"/>
    </xf>
    <xf numFmtId="44" fontId="0" fillId="0" borderId="17" xfId="61" applyFont="1" applyBorder="1" applyAlignment="1">
      <alignment/>
    </xf>
    <xf numFmtId="0" fontId="0" fillId="0" borderId="25" xfId="0" applyBorder="1" applyAlignment="1">
      <alignment/>
    </xf>
    <xf numFmtId="44" fontId="0" fillId="0" borderId="22" xfId="61" applyFont="1" applyBorder="1" applyAlignment="1">
      <alignment/>
    </xf>
    <xf numFmtId="0" fontId="60" fillId="0" borderId="23" xfId="0" applyFont="1" applyFill="1" applyBorder="1" applyAlignment="1">
      <alignment horizontal="center"/>
    </xf>
    <xf numFmtId="44" fontId="0" fillId="0" borderId="26" xfId="61" applyFont="1" applyFill="1" applyBorder="1" applyAlignment="1">
      <alignment/>
    </xf>
    <xf numFmtId="44" fontId="0" fillId="0" borderId="24" xfId="61" applyFont="1" applyBorder="1" applyAlignment="1" quotePrefix="1">
      <alignment/>
    </xf>
    <xf numFmtId="0" fontId="56" fillId="0" borderId="0" xfId="0" applyFont="1" applyBorder="1" applyAlignment="1">
      <alignment horizontal="center" vertical="center"/>
    </xf>
    <xf numFmtId="44" fontId="0" fillId="0" borderId="0" xfId="61" applyFont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60" fillId="0" borderId="23" xfId="0" applyFont="1" applyBorder="1" applyAlignment="1">
      <alignment horizontal="left" vertical="center"/>
    </xf>
    <xf numFmtId="44" fontId="0" fillId="33" borderId="26" xfId="61" applyFont="1" applyFill="1" applyBorder="1" applyAlignment="1">
      <alignment/>
    </xf>
    <xf numFmtId="44" fontId="0" fillId="34" borderId="14" xfId="61" applyFont="1" applyFill="1" applyBorder="1" applyAlignment="1">
      <alignment/>
    </xf>
    <xf numFmtId="0" fontId="0" fillId="0" borderId="23" xfId="0" applyBorder="1" applyAlignment="1">
      <alignment wrapText="1"/>
    </xf>
    <xf numFmtId="0" fontId="0" fillId="0" borderId="23" xfId="0" applyBorder="1" applyAlignment="1" quotePrefix="1">
      <alignment wrapText="1"/>
    </xf>
    <xf numFmtId="0" fontId="0" fillId="0" borderId="27" xfId="0" applyBorder="1" applyAlignment="1">
      <alignment/>
    </xf>
    <xf numFmtId="0" fontId="0" fillId="0" borderId="24" xfId="0" applyBorder="1" applyAlignment="1">
      <alignment/>
    </xf>
    <xf numFmtId="0" fontId="56" fillId="0" borderId="28" xfId="0" applyFont="1" applyBorder="1" applyAlignment="1">
      <alignment horizontal="center" wrapText="1"/>
    </xf>
    <xf numFmtId="44" fontId="0" fillId="0" borderId="24" xfId="61" applyFont="1" applyBorder="1" applyAlignment="1">
      <alignment/>
    </xf>
    <xf numFmtId="44" fontId="0" fillId="0" borderId="29" xfId="0" applyNumberFormat="1" applyBorder="1" applyAlignment="1">
      <alignment/>
    </xf>
    <xf numFmtId="44" fontId="0" fillId="0" borderId="29" xfId="61" applyFont="1" applyBorder="1" applyAlignment="1">
      <alignment/>
    </xf>
    <xf numFmtId="44" fontId="0" fillId="0" borderId="24" xfId="61" applyFont="1" applyBorder="1" applyAlignment="1">
      <alignment/>
    </xf>
    <xf numFmtId="44" fontId="0" fillId="0" borderId="29" xfId="61" applyFont="1" applyBorder="1" applyAlignment="1">
      <alignment/>
    </xf>
    <xf numFmtId="0" fontId="2" fillId="0" borderId="30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2" fillId="33" borderId="30" xfId="0" applyFont="1" applyFill="1" applyBorder="1" applyAlignment="1">
      <alignment horizontal="left"/>
    </xf>
    <xf numFmtId="0" fontId="62" fillId="0" borderId="0" xfId="0" applyFont="1" applyAlignment="1">
      <alignment/>
    </xf>
    <xf numFmtId="4" fontId="3" fillId="0" borderId="30" xfId="0" applyNumberFormat="1" applyFont="1" applyBorder="1" applyAlignment="1">
      <alignment horizontal="right"/>
    </xf>
    <xf numFmtId="4" fontId="3" fillId="33" borderId="30" xfId="0" applyNumberFormat="1" applyFont="1" applyFill="1" applyBorder="1" applyAlignment="1">
      <alignment horizontal="right"/>
    </xf>
    <xf numFmtId="4" fontId="62" fillId="0" borderId="0" xfId="0" applyNumberFormat="1" applyFont="1" applyAlignment="1">
      <alignment/>
    </xf>
    <xf numFmtId="2" fontId="3" fillId="0" borderId="30" xfId="0" applyNumberFormat="1" applyFont="1" applyBorder="1" applyAlignment="1">
      <alignment horizontal="right"/>
    </xf>
    <xf numFmtId="2" fontId="3" fillId="33" borderId="30" xfId="0" applyNumberFormat="1" applyFont="1" applyFill="1" applyBorder="1" applyAlignment="1">
      <alignment horizontal="right"/>
    </xf>
    <xf numFmtId="0" fontId="31" fillId="0" borderId="30" xfId="0" applyFont="1" applyBorder="1" applyAlignment="1">
      <alignment horizontal="left"/>
    </xf>
    <xf numFmtId="4" fontId="31" fillId="0" borderId="30" xfId="0" applyNumberFormat="1" applyFont="1" applyBorder="1" applyAlignment="1">
      <alignment horizontal="right"/>
    </xf>
    <xf numFmtId="4" fontId="3" fillId="0" borderId="30" xfId="0" applyNumberFormat="1" applyFont="1" applyFill="1" applyBorder="1" applyAlignment="1">
      <alignment horizontal="right"/>
    </xf>
    <xf numFmtId="44" fontId="0" fillId="0" borderId="24" xfId="61" applyFont="1" applyBorder="1" applyAlignment="1">
      <alignment/>
    </xf>
    <xf numFmtId="44" fontId="0" fillId="0" borderId="0" xfId="61" applyFont="1" applyAlignment="1">
      <alignment/>
    </xf>
    <xf numFmtId="44" fontId="0" fillId="0" borderId="0" xfId="0" applyNumberFormat="1" applyAlignment="1">
      <alignment/>
    </xf>
    <xf numFmtId="44" fontId="56" fillId="0" borderId="0" xfId="61" applyFont="1" applyAlignment="1">
      <alignment/>
    </xf>
    <xf numFmtId="44" fontId="56" fillId="0" borderId="0" xfId="0" applyNumberFormat="1" applyFont="1" applyAlignment="1">
      <alignment/>
    </xf>
    <xf numFmtId="0" fontId="60" fillId="33" borderId="12" xfId="0" applyFont="1" applyFill="1" applyBorder="1" applyAlignment="1">
      <alignment horizontal="center"/>
    </xf>
    <xf numFmtId="44" fontId="0" fillId="33" borderId="15" xfId="61" applyFont="1" applyFill="1" applyBorder="1" applyAlignment="1">
      <alignment/>
    </xf>
    <xf numFmtId="44" fontId="0" fillId="33" borderId="17" xfId="61" applyFont="1" applyFill="1" applyBorder="1" applyAlignment="1">
      <alignment/>
    </xf>
    <xf numFmtId="0" fontId="63" fillId="0" borderId="0" xfId="0" applyFont="1" applyAlignment="1">
      <alignment/>
    </xf>
    <xf numFmtId="4" fontId="2" fillId="34" borderId="30" xfId="0" applyNumberFormat="1" applyFont="1" applyFill="1" applyBorder="1" applyAlignment="1">
      <alignment horizontal="right"/>
    </xf>
    <xf numFmtId="0" fontId="4" fillId="34" borderId="30" xfId="0" applyFont="1" applyFill="1" applyBorder="1" applyAlignment="1">
      <alignment horizontal="left"/>
    </xf>
    <xf numFmtId="0" fontId="0" fillId="0" borderId="31" xfId="0" applyBorder="1" applyAlignment="1">
      <alignment/>
    </xf>
    <xf numFmtId="44" fontId="0" fillId="0" borderId="31" xfId="61" applyFont="1" applyBorder="1" applyAlignment="1">
      <alignment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44" fontId="0" fillId="0" borderId="0" xfId="61" applyFont="1" applyBorder="1" applyAlignment="1">
      <alignment/>
    </xf>
    <xf numFmtId="0" fontId="0" fillId="0" borderId="33" xfId="0" applyBorder="1" applyAlignment="1">
      <alignment/>
    </xf>
    <xf numFmtId="0" fontId="56" fillId="0" borderId="34" xfId="0" applyFont="1" applyBorder="1" applyAlignment="1">
      <alignment/>
    </xf>
    <xf numFmtId="44" fontId="56" fillId="0" borderId="34" xfId="61" applyFont="1" applyBorder="1" applyAlignment="1">
      <alignment/>
    </xf>
    <xf numFmtId="44" fontId="56" fillId="0" borderId="35" xfId="0" applyNumberFormat="1" applyFont="1" applyBorder="1" applyAlignment="1">
      <alignment/>
    </xf>
    <xf numFmtId="0" fontId="0" fillId="0" borderId="16" xfId="0" applyBorder="1" applyAlignment="1">
      <alignment/>
    </xf>
    <xf numFmtId="0" fontId="56" fillId="0" borderId="16" xfId="0" applyFont="1" applyBorder="1" applyAlignment="1">
      <alignment horizontal="center" vertical="center" textRotation="255" wrapText="1"/>
    </xf>
    <xf numFmtId="0" fontId="0" fillId="0" borderId="31" xfId="0" applyBorder="1" applyAlignment="1">
      <alignment vertical="center"/>
    </xf>
    <xf numFmtId="44" fontId="0" fillId="0" borderId="31" xfId="61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Border="1" applyAlignment="1" quotePrefix="1">
      <alignment wrapText="1"/>
    </xf>
    <xf numFmtId="44" fontId="0" fillId="0" borderId="0" xfId="61" applyFont="1" applyBorder="1" applyAlignment="1">
      <alignment/>
    </xf>
    <xf numFmtId="0" fontId="0" fillId="0" borderId="30" xfId="0" applyBorder="1" applyAlignment="1">
      <alignment wrapText="1"/>
    </xf>
    <xf numFmtId="44" fontId="0" fillId="0" borderId="30" xfId="61" applyFont="1" applyBorder="1" applyAlignment="1">
      <alignment/>
    </xf>
    <xf numFmtId="0" fontId="56" fillId="33" borderId="30" xfId="0" applyFont="1" applyFill="1" applyBorder="1" applyAlignment="1">
      <alignment wrapText="1"/>
    </xf>
    <xf numFmtId="44" fontId="56" fillId="33" borderId="30" xfId="61" applyFont="1" applyFill="1" applyBorder="1" applyAlignment="1">
      <alignment/>
    </xf>
    <xf numFmtId="0" fontId="56" fillId="0" borderId="0" xfId="0" applyFont="1" applyBorder="1" applyAlignment="1">
      <alignment wrapText="1"/>
    </xf>
    <xf numFmtId="0" fontId="56" fillId="0" borderId="30" xfId="0" applyFont="1" applyBorder="1" applyAlignment="1">
      <alignment wrapText="1"/>
    </xf>
    <xf numFmtId="0" fontId="56" fillId="0" borderId="36" xfId="0" applyFont="1" applyBorder="1" applyAlignment="1" quotePrefix="1">
      <alignment wrapText="1"/>
    </xf>
    <xf numFmtId="44" fontId="56" fillId="0" borderId="37" xfId="61" applyFont="1" applyBorder="1" applyAlignment="1">
      <alignment/>
    </xf>
    <xf numFmtId="44" fontId="64" fillId="0" borderId="0" xfId="61" applyFont="1" applyAlignment="1">
      <alignment/>
    </xf>
    <xf numFmtId="0" fontId="64" fillId="0" borderId="0" xfId="0" applyFont="1" applyAlignment="1">
      <alignment/>
    </xf>
    <xf numFmtId="49" fontId="64" fillId="0" borderId="0" xfId="61" applyNumberFormat="1" applyFont="1" applyAlignment="1">
      <alignment/>
    </xf>
    <xf numFmtId="0" fontId="59" fillId="0" borderId="38" xfId="0" applyFont="1" applyBorder="1" applyAlignment="1">
      <alignment horizontal="center" wrapText="1"/>
    </xf>
    <xf numFmtId="0" fontId="59" fillId="0" borderId="38" xfId="0" applyFont="1" applyBorder="1" applyAlignment="1">
      <alignment wrapText="1"/>
    </xf>
    <xf numFmtId="0" fontId="59" fillId="0" borderId="38" xfId="0" applyFont="1" applyBorder="1" applyAlignment="1">
      <alignment/>
    </xf>
    <xf numFmtId="0" fontId="59" fillId="0" borderId="38" xfId="0" applyFont="1" applyBorder="1" applyAlignment="1">
      <alignment horizontal="center"/>
    </xf>
    <xf numFmtId="0" fontId="34" fillId="0" borderId="30" xfId="0" applyNumberFormat="1" applyFont="1" applyBorder="1" applyAlignment="1">
      <alignment/>
    </xf>
    <xf numFmtId="44" fontId="34" fillId="0" borderId="30" xfId="61" applyFont="1" applyBorder="1" applyAlignment="1">
      <alignment/>
    </xf>
    <xf numFmtId="0" fontId="64" fillId="0" borderId="30" xfId="0" applyFont="1" applyBorder="1" applyAlignment="1">
      <alignment/>
    </xf>
    <xf numFmtId="44" fontId="64" fillId="0" borderId="30" xfId="61" applyFont="1" applyBorder="1" applyAlignment="1">
      <alignment/>
    </xf>
    <xf numFmtId="44" fontId="64" fillId="0" borderId="30" xfId="0" applyNumberFormat="1" applyFont="1" applyBorder="1" applyAlignment="1">
      <alignment/>
    </xf>
    <xf numFmtId="0" fontId="59" fillId="0" borderId="30" xfId="0" applyFont="1" applyBorder="1" applyAlignment="1">
      <alignment/>
    </xf>
    <xf numFmtId="44" fontId="59" fillId="0" borderId="30" xfId="61" applyFont="1" applyBorder="1" applyAlignment="1">
      <alignment/>
    </xf>
    <xf numFmtId="0" fontId="59" fillId="35" borderId="30" xfId="0" applyFont="1" applyFill="1" applyBorder="1" applyAlignment="1">
      <alignment/>
    </xf>
    <xf numFmtId="44" fontId="59" fillId="35" borderId="30" xfId="61" applyFont="1" applyFill="1" applyBorder="1" applyAlignment="1">
      <alignment/>
    </xf>
    <xf numFmtId="0" fontId="65" fillId="0" borderId="0" xfId="0" applyFont="1" applyAlignment="1">
      <alignment wrapText="1"/>
    </xf>
    <xf numFmtId="0" fontId="66" fillId="0" borderId="0" xfId="0" applyFont="1" applyAlignment="1">
      <alignment vertical="center" wrapText="1"/>
    </xf>
    <xf numFmtId="0" fontId="67" fillId="0" borderId="30" xfId="0" applyFont="1" applyBorder="1" applyAlignment="1">
      <alignment horizontal="center" vertical="center" wrapText="1"/>
    </xf>
    <xf numFmtId="0" fontId="65" fillId="0" borderId="30" xfId="0" applyFont="1" applyBorder="1" applyAlignment="1">
      <alignment horizontal="center" wrapText="1"/>
    </xf>
    <xf numFmtId="0" fontId="65" fillId="0" borderId="30" xfId="0" applyFont="1" applyBorder="1" applyAlignment="1">
      <alignment horizontal="center" vertical="center" wrapText="1"/>
    </xf>
    <xf numFmtId="0" fontId="62" fillId="0" borderId="30" xfId="0" applyFont="1" applyBorder="1" applyAlignment="1">
      <alignment wrapText="1"/>
    </xf>
    <xf numFmtId="44" fontId="62" fillId="0" borderId="30" xfId="61" applyFont="1" applyBorder="1" applyAlignment="1">
      <alignment/>
    </xf>
    <xf numFmtId="0" fontId="62" fillId="0" borderId="30" xfId="0" applyFont="1" applyBorder="1" applyAlignment="1" quotePrefix="1">
      <alignment horizontal="center"/>
    </xf>
    <xf numFmtId="0" fontId="62" fillId="0" borderId="30" xfId="0" applyFont="1" applyBorder="1" applyAlignment="1">
      <alignment/>
    </xf>
    <xf numFmtId="0" fontId="68" fillId="0" borderId="30" xfId="0" applyFont="1" applyBorder="1" applyAlignment="1">
      <alignment/>
    </xf>
    <xf numFmtId="0" fontId="66" fillId="0" borderId="30" xfId="0" applyFont="1" applyBorder="1" applyAlignment="1">
      <alignment vertical="center" wrapText="1"/>
    </xf>
    <xf numFmtId="44" fontId="62" fillId="0" borderId="30" xfId="61" applyFont="1" applyFill="1" applyBorder="1" applyAlignment="1">
      <alignment/>
    </xf>
    <xf numFmtId="0" fontId="62" fillId="0" borderId="30" xfId="0" applyFont="1" applyFill="1" applyBorder="1" applyAlignment="1">
      <alignment wrapText="1"/>
    </xf>
    <xf numFmtId="0" fontId="62" fillId="33" borderId="30" xfId="0" applyFont="1" applyFill="1" applyBorder="1" applyAlignment="1">
      <alignment horizontal="right" wrapText="1"/>
    </xf>
    <xf numFmtId="44" fontId="62" fillId="33" borderId="30" xfId="61" applyFont="1" applyFill="1" applyBorder="1" applyAlignment="1">
      <alignment/>
    </xf>
    <xf numFmtId="44" fontId="68" fillId="0" borderId="30" xfId="61" applyFont="1" applyBorder="1" applyAlignment="1">
      <alignment/>
    </xf>
    <xf numFmtId="44" fontId="31" fillId="0" borderId="30" xfId="61" applyFont="1" applyBorder="1" applyAlignment="1">
      <alignment/>
    </xf>
    <xf numFmtId="0" fontId="66" fillId="0" borderId="30" xfId="0" applyFont="1" applyBorder="1" applyAlignment="1">
      <alignment horizontal="left" vertical="center" wrapText="1"/>
    </xf>
    <xf numFmtId="0" fontId="62" fillId="0" borderId="30" xfId="0" applyFont="1" applyBorder="1" applyAlignment="1">
      <alignment horizontal="left" vertical="center" wrapText="1"/>
    </xf>
    <xf numFmtId="0" fontId="66" fillId="0" borderId="30" xfId="0" applyFont="1" applyBorder="1" applyAlignment="1">
      <alignment horizontal="center" vertical="center" wrapText="1"/>
    </xf>
    <xf numFmtId="0" fontId="66" fillId="0" borderId="30" xfId="0" applyFont="1" applyBorder="1" applyAlignment="1">
      <alignment wrapText="1"/>
    </xf>
    <xf numFmtId="0" fontId="66" fillId="34" borderId="30" xfId="0" applyFont="1" applyFill="1" applyBorder="1" applyAlignment="1">
      <alignment horizontal="center" wrapText="1"/>
    </xf>
    <xf numFmtId="44" fontId="62" fillId="34" borderId="30" xfId="61" applyFont="1" applyFill="1" applyBorder="1" applyAlignment="1">
      <alignment/>
    </xf>
    <xf numFmtId="0" fontId="62" fillId="36" borderId="30" xfId="0" applyFont="1" applyFill="1" applyBorder="1" applyAlignment="1">
      <alignment wrapText="1"/>
    </xf>
    <xf numFmtId="44" fontId="62" fillId="36" borderId="30" xfId="61" applyFont="1" applyFill="1" applyBorder="1" applyAlignment="1">
      <alignment/>
    </xf>
    <xf numFmtId="44" fontId="62" fillId="36" borderId="30" xfId="61" applyFont="1" applyFill="1" applyBorder="1" applyAlignment="1" quotePrefix="1">
      <alignment/>
    </xf>
    <xf numFmtId="0" fontId="65" fillId="0" borderId="36" xfId="0" applyFont="1" applyBorder="1" applyAlignment="1">
      <alignment horizontal="center" vertical="center" wrapText="1"/>
    </xf>
    <xf numFmtId="44" fontId="62" fillId="0" borderId="39" xfId="61" applyFont="1" applyBorder="1" applyAlignment="1">
      <alignment horizontal="center" vertical="center"/>
    </xf>
    <xf numFmtId="44" fontId="62" fillId="0" borderId="40" xfId="61" applyFont="1" applyBorder="1" applyAlignment="1">
      <alignment horizontal="center" vertical="center"/>
    </xf>
    <xf numFmtId="0" fontId="62" fillId="0" borderId="0" xfId="0" applyFont="1" applyAlignment="1">
      <alignment wrapText="1"/>
    </xf>
    <xf numFmtId="44" fontId="62" fillId="0" borderId="0" xfId="0" applyNumberFormat="1" applyFont="1" applyAlignment="1">
      <alignment/>
    </xf>
    <xf numFmtId="0" fontId="62" fillId="0" borderId="30" xfId="0" applyFont="1" applyFill="1" applyBorder="1" applyAlignment="1">
      <alignment horizontal="left" vertical="center" wrapText="1"/>
    </xf>
    <xf numFmtId="44" fontId="62" fillId="0" borderId="30" xfId="61" applyFont="1" applyFill="1" applyBorder="1" applyAlignment="1" quotePrefix="1">
      <alignment/>
    </xf>
    <xf numFmtId="44" fontId="31" fillId="0" borderId="30" xfId="61" applyFont="1" applyFill="1" applyBorder="1" applyAlignment="1">
      <alignment/>
    </xf>
    <xf numFmtId="44" fontId="65" fillId="0" borderId="30" xfId="61" applyFont="1" applyFill="1" applyBorder="1" applyAlignment="1">
      <alignment/>
    </xf>
    <xf numFmtId="44" fontId="68" fillId="0" borderId="30" xfId="61" applyFont="1" applyFill="1" applyBorder="1" applyAlignment="1">
      <alignment/>
    </xf>
    <xf numFmtId="0" fontId="62" fillId="36" borderId="0" xfId="0" applyFont="1" applyFill="1" applyAlignment="1">
      <alignment/>
    </xf>
    <xf numFmtId="44" fontId="69" fillId="0" borderId="30" xfId="61" applyFont="1" applyBorder="1" applyAlignment="1">
      <alignment/>
    </xf>
    <xf numFmtId="44" fontId="0" fillId="0" borderId="0" xfId="61" applyFont="1" applyAlignment="1">
      <alignment/>
    </xf>
    <xf numFmtId="0" fontId="69" fillId="0" borderId="0" xfId="0" applyFont="1" applyFill="1" applyAlignment="1">
      <alignment/>
    </xf>
    <xf numFmtId="168" fontId="0" fillId="0" borderId="0" xfId="61" applyNumberFormat="1" applyFont="1" applyAlignment="1">
      <alignment/>
    </xf>
    <xf numFmtId="168" fontId="0" fillId="0" borderId="0" xfId="0" applyNumberFormat="1" applyAlignment="1">
      <alignment/>
    </xf>
    <xf numFmtId="44" fontId="0" fillId="36" borderId="0" xfId="0" applyNumberFormat="1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62" fillId="33" borderId="0" xfId="0" applyFont="1" applyFill="1" applyAlignment="1">
      <alignment/>
    </xf>
    <xf numFmtId="0" fontId="65" fillId="0" borderId="30" xfId="0" applyFont="1" applyBorder="1" applyAlignment="1">
      <alignment horizontal="center" wrapText="1"/>
    </xf>
    <xf numFmtId="0" fontId="56" fillId="0" borderId="30" xfId="0" applyFont="1" applyBorder="1" applyAlignment="1">
      <alignment/>
    </xf>
    <xf numFmtId="0" fontId="69" fillId="0" borderId="30" xfId="0" applyFont="1" applyFill="1" applyBorder="1" applyAlignment="1">
      <alignment/>
    </xf>
    <xf numFmtId="0" fontId="0" fillId="0" borderId="30" xfId="0" applyFont="1" applyBorder="1" applyAlignment="1">
      <alignment/>
    </xf>
    <xf numFmtId="44" fontId="70" fillId="0" borderId="30" xfId="61" applyFont="1" applyBorder="1" applyAlignment="1">
      <alignment/>
    </xf>
    <xf numFmtId="44" fontId="62" fillId="0" borderId="41" xfId="61" applyFont="1" applyBorder="1" applyAlignment="1">
      <alignment horizontal="center" vertical="center"/>
    </xf>
    <xf numFmtId="0" fontId="65" fillId="0" borderId="42" xfId="0" applyFont="1" applyBorder="1" applyAlignment="1">
      <alignment horizontal="center" wrapText="1"/>
    </xf>
    <xf numFmtId="0" fontId="65" fillId="0" borderId="43" xfId="0" applyFont="1" applyBorder="1" applyAlignment="1">
      <alignment horizontal="center" wrapText="1"/>
    </xf>
    <xf numFmtId="0" fontId="65" fillId="0" borderId="0" xfId="0" applyFont="1" applyAlignment="1">
      <alignment/>
    </xf>
    <xf numFmtId="0" fontId="62" fillId="0" borderId="0" xfId="0" applyFont="1" applyFill="1" applyAlignment="1">
      <alignment/>
    </xf>
    <xf numFmtId="0" fontId="65" fillId="0" borderId="44" xfId="0" applyFont="1" applyFill="1" applyBorder="1" applyAlignment="1">
      <alignment horizontal="center" wrapText="1"/>
    </xf>
    <xf numFmtId="0" fontId="62" fillId="0" borderId="11" xfId="0" applyFont="1" applyFill="1" applyBorder="1" applyAlignment="1">
      <alignment/>
    </xf>
    <xf numFmtId="0" fontId="65" fillId="0" borderId="16" xfId="0" applyFont="1" applyBorder="1" applyAlignment="1">
      <alignment horizontal="center" wrapText="1"/>
    </xf>
    <xf numFmtId="0" fontId="62" fillId="0" borderId="13" xfId="0" applyFont="1" applyFill="1" applyBorder="1" applyAlignment="1">
      <alignment/>
    </xf>
    <xf numFmtId="0" fontId="62" fillId="0" borderId="45" xfId="0" applyFont="1" applyBorder="1" applyAlignment="1">
      <alignment/>
    </xf>
    <xf numFmtId="44" fontId="62" fillId="0" borderId="16" xfId="61" applyFont="1" applyFill="1" applyBorder="1" applyAlignment="1">
      <alignment/>
    </xf>
    <xf numFmtId="44" fontId="62" fillId="0" borderId="46" xfId="61" applyFont="1" applyBorder="1" applyAlignment="1">
      <alignment/>
    </xf>
    <xf numFmtId="44" fontId="62" fillId="0" borderId="38" xfId="61" applyFont="1" applyBorder="1" applyAlignment="1">
      <alignment/>
    </xf>
    <xf numFmtId="44" fontId="62" fillId="0" borderId="13" xfId="61" applyFont="1" applyFill="1" applyBorder="1" applyAlignment="1">
      <alignment/>
    </xf>
    <xf numFmtId="44" fontId="62" fillId="0" borderId="13" xfId="61" applyFont="1" applyBorder="1" applyAlignment="1">
      <alignment/>
    </xf>
    <xf numFmtId="44" fontId="62" fillId="0" borderId="45" xfId="61" applyFont="1" applyBorder="1" applyAlignment="1">
      <alignment/>
    </xf>
    <xf numFmtId="44" fontId="31" fillId="0" borderId="13" xfId="61" applyFont="1" applyBorder="1" applyAlignment="1">
      <alignment/>
    </xf>
    <xf numFmtId="44" fontId="62" fillId="0" borderId="47" xfId="61" applyFont="1" applyFill="1" applyBorder="1" applyAlignment="1">
      <alignment/>
    </xf>
    <xf numFmtId="44" fontId="62" fillId="33" borderId="47" xfId="61" applyFont="1" applyFill="1" applyBorder="1" applyAlignment="1">
      <alignment/>
    </xf>
    <xf numFmtId="44" fontId="62" fillId="33" borderId="46" xfId="61" applyFont="1" applyFill="1" applyBorder="1" applyAlignment="1">
      <alignment/>
    </xf>
    <xf numFmtId="0" fontId="62" fillId="0" borderId="13" xfId="0" applyFont="1" applyBorder="1" applyAlignment="1">
      <alignment wrapText="1"/>
    </xf>
    <xf numFmtId="44" fontId="62" fillId="0" borderId="12" xfId="61" applyFont="1" applyFill="1" applyBorder="1" applyAlignment="1">
      <alignment/>
    </xf>
    <xf numFmtId="44" fontId="62" fillId="0" borderId="12" xfId="61" applyFont="1" applyBorder="1" applyAlignment="1">
      <alignment/>
    </xf>
    <xf numFmtId="44" fontId="62" fillId="0" borderId="48" xfId="61" applyFont="1" applyBorder="1" applyAlignment="1">
      <alignment/>
    </xf>
    <xf numFmtId="44" fontId="62" fillId="0" borderId="10" xfId="61" applyFont="1" applyFill="1" applyBorder="1" applyAlignment="1">
      <alignment/>
    </xf>
    <xf numFmtId="44" fontId="62" fillId="0" borderId="10" xfId="61" applyFont="1" applyBorder="1" applyAlignment="1">
      <alignment/>
    </xf>
    <xf numFmtId="44" fontId="62" fillId="0" borderId="11" xfId="61" applyFont="1" applyBorder="1" applyAlignment="1">
      <alignment/>
    </xf>
    <xf numFmtId="44" fontId="62" fillId="0" borderId="16" xfId="61" applyFont="1" applyBorder="1" applyAlignment="1">
      <alignment/>
    </xf>
    <xf numFmtId="44" fontId="62" fillId="0" borderId="45" xfId="61" applyFont="1" applyFill="1" applyBorder="1" applyAlignment="1">
      <alignment/>
    </xf>
    <xf numFmtId="44" fontId="62" fillId="33" borderId="16" xfId="61" applyFont="1" applyFill="1" applyBorder="1" applyAlignment="1">
      <alignment/>
    </xf>
    <xf numFmtId="44" fontId="62" fillId="33" borderId="41" xfId="61" applyFont="1" applyFill="1" applyBorder="1" applyAlignment="1">
      <alignment/>
    </xf>
    <xf numFmtId="44" fontId="62" fillId="34" borderId="15" xfId="61" applyFont="1" applyFill="1" applyBorder="1" applyAlignment="1">
      <alignment/>
    </xf>
    <xf numFmtId="44" fontId="62" fillId="0" borderId="45" xfId="61" applyFont="1" applyBorder="1" applyAlignment="1" quotePrefix="1">
      <alignment/>
    </xf>
    <xf numFmtId="44" fontId="62" fillId="0" borderId="13" xfId="61" applyFont="1" applyFill="1" applyBorder="1" applyAlignment="1" quotePrefix="1">
      <alignment/>
    </xf>
    <xf numFmtId="44" fontId="62" fillId="0" borderId="13" xfId="61" applyFont="1" applyBorder="1" applyAlignment="1" quotePrefix="1">
      <alignment/>
    </xf>
    <xf numFmtId="44" fontId="62" fillId="0" borderId="15" xfId="61" applyFont="1" applyFill="1" applyBorder="1" applyAlignment="1">
      <alignment horizontal="center" vertical="center"/>
    </xf>
    <xf numFmtId="44" fontId="62" fillId="0" borderId="15" xfId="61" applyFont="1" applyBorder="1" applyAlignment="1">
      <alignment horizontal="center" vertical="center"/>
    </xf>
    <xf numFmtId="44" fontId="62" fillId="0" borderId="49" xfId="61" applyFont="1" applyBorder="1" applyAlignment="1">
      <alignment horizontal="center" vertical="center"/>
    </xf>
    <xf numFmtId="0" fontId="62" fillId="0" borderId="11" xfId="0" applyFont="1" applyBorder="1" applyAlignment="1">
      <alignment wrapText="1"/>
    </xf>
    <xf numFmtId="0" fontId="66" fillId="0" borderId="16" xfId="0" applyFont="1" applyBorder="1" applyAlignment="1">
      <alignment vertical="center" wrapText="1"/>
    </xf>
    <xf numFmtId="0" fontId="62" fillId="33" borderId="13" xfId="0" applyFont="1" applyFill="1" applyBorder="1" applyAlignment="1">
      <alignment horizontal="right" wrapText="1"/>
    </xf>
    <xf numFmtId="0" fontId="66" fillId="0" borderId="13" xfId="0" applyFont="1" applyBorder="1" applyAlignment="1">
      <alignment horizontal="center" vertical="center" wrapText="1"/>
    </xf>
    <xf numFmtId="0" fontId="62" fillId="0" borderId="10" xfId="0" applyFont="1" applyBorder="1" applyAlignment="1">
      <alignment wrapText="1"/>
    </xf>
    <xf numFmtId="0" fontId="66" fillId="0" borderId="16" xfId="0" applyFont="1" applyBorder="1" applyAlignment="1">
      <alignment horizontal="left" vertical="center" wrapText="1"/>
    </xf>
    <xf numFmtId="0" fontId="66" fillId="0" borderId="16" xfId="0" applyFont="1" applyBorder="1" applyAlignment="1">
      <alignment wrapText="1"/>
    </xf>
    <xf numFmtId="0" fontId="66" fillId="34" borderId="12" xfId="0" applyFont="1" applyFill="1" applyBorder="1" applyAlignment="1">
      <alignment horizontal="center" wrapText="1"/>
    </xf>
    <xf numFmtId="0" fontId="65" fillId="0" borderId="12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wrapText="1"/>
    </xf>
    <xf numFmtId="44" fontId="62" fillId="0" borderId="0" xfId="61" applyFont="1" applyAlignment="1">
      <alignment/>
    </xf>
    <xf numFmtId="0" fontId="62" fillId="0" borderId="44" xfId="0" applyFont="1" applyBorder="1" applyAlignment="1">
      <alignment/>
    </xf>
    <xf numFmtId="44" fontId="62" fillId="0" borderId="42" xfId="61" applyFont="1" applyBorder="1" applyAlignment="1">
      <alignment/>
    </xf>
    <xf numFmtId="44" fontId="65" fillId="0" borderId="43" xfId="61" applyFont="1" applyBorder="1" applyAlignment="1">
      <alignment/>
    </xf>
    <xf numFmtId="44" fontId="62" fillId="0" borderId="0" xfId="61" applyFont="1" applyBorder="1" applyAlignment="1">
      <alignment/>
    </xf>
    <xf numFmtId="44" fontId="62" fillId="0" borderId="0" xfId="61" applyFont="1" applyFill="1" applyBorder="1" applyAlignment="1">
      <alignment horizontal="center" vertical="center"/>
    </xf>
    <xf numFmtId="44" fontId="62" fillId="0" borderId="0" xfId="61" applyFont="1" applyFill="1" applyBorder="1" applyAlignment="1">
      <alignment/>
    </xf>
    <xf numFmtId="44" fontId="62" fillId="0" borderId="50" xfId="61" applyFont="1" applyFill="1" applyBorder="1" applyAlignment="1">
      <alignment/>
    </xf>
    <xf numFmtId="44" fontId="65" fillId="0" borderId="0" xfId="61" applyFont="1" applyAlignment="1">
      <alignment/>
    </xf>
    <xf numFmtId="44" fontId="62" fillId="0" borderId="34" xfId="61" applyFont="1" applyFill="1" applyBorder="1" applyAlignment="1">
      <alignment/>
    </xf>
    <xf numFmtId="44" fontId="62" fillId="0" borderId="0" xfId="61" applyFont="1" applyFill="1" applyAlignment="1">
      <alignment/>
    </xf>
    <xf numFmtId="44" fontId="65" fillId="0" borderId="0" xfId="61" applyFont="1" applyFill="1" applyAlignment="1">
      <alignment/>
    </xf>
    <xf numFmtId="44" fontId="62" fillId="0" borderId="0" xfId="61" applyFont="1" applyAlignment="1">
      <alignment wrapText="1"/>
    </xf>
    <xf numFmtId="0" fontId="62" fillId="0" borderId="28" xfId="0" applyFont="1" applyBorder="1" applyAlignment="1">
      <alignment/>
    </xf>
    <xf numFmtId="44" fontId="62" fillId="0" borderId="51" xfId="61" applyFont="1" applyFill="1" applyBorder="1" applyAlignment="1">
      <alignment/>
    </xf>
    <xf numFmtId="44" fontId="62" fillId="0" borderId="52" xfId="61" applyFont="1" applyBorder="1" applyAlignment="1">
      <alignment/>
    </xf>
    <xf numFmtId="0" fontId="62" fillId="0" borderId="23" xfId="0" applyFont="1" applyBorder="1" applyAlignment="1">
      <alignment/>
    </xf>
    <xf numFmtId="44" fontId="62" fillId="0" borderId="53" xfId="61" applyFont="1" applyBorder="1" applyAlignment="1">
      <alignment/>
    </xf>
    <xf numFmtId="0" fontId="65" fillId="0" borderId="36" xfId="0" applyFont="1" applyBorder="1" applyAlignment="1">
      <alignment/>
    </xf>
    <xf numFmtId="44" fontId="65" fillId="0" borderId="50" xfId="61" applyFont="1" applyBorder="1" applyAlignment="1">
      <alignment/>
    </xf>
    <xf numFmtId="44" fontId="65" fillId="0" borderId="54" xfId="61" applyFont="1" applyBorder="1" applyAlignment="1">
      <alignment/>
    </xf>
    <xf numFmtId="44" fontId="62" fillId="36" borderId="0" xfId="61" applyFont="1" applyFill="1" applyAlignment="1">
      <alignment/>
    </xf>
    <xf numFmtId="44" fontId="65" fillId="36" borderId="0" xfId="0" applyNumberFormat="1" applyFont="1" applyFill="1" applyAlignment="1">
      <alignment/>
    </xf>
    <xf numFmtId="44" fontId="31" fillId="33" borderId="30" xfId="61" applyFont="1" applyFill="1" applyBorder="1" applyAlignment="1">
      <alignment/>
    </xf>
    <xf numFmtId="0" fontId="0" fillId="0" borderId="30" xfId="0" applyBorder="1" applyAlignment="1">
      <alignment/>
    </xf>
    <xf numFmtId="44" fontId="0" fillId="0" borderId="30" xfId="61" applyFont="1" applyBorder="1" applyAlignment="1">
      <alignment/>
    </xf>
    <xf numFmtId="44" fontId="0" fillId="0" borderId="30" xfId="61" applyFont="1" applyFill="1" applyBorder="1" applyAlignment="1">
      <alignment/>
    </xf>
    <xf numFmtId="44" fontId="56" fillId="0" borderId="30" xfId="61" applyFont="1" applyBorder="1" applyAlignment="1">
      <alignment/>
    </xf>
    <xf numFmtId="44" fontId="69" fillId="0" borderId="30" xfId="61" applyFont="1" applyFill="1" applyBorder="1" applyAlignment="1">
      <alignment/>
    </xf>
    <xf numFmtId="44" fontId="65" fillId="33" borderId="30" xfId="61" applyFont="1" applyFill="1" applyBorder="1" applyAlignment="1">
      <alignment/>
    </xf>
    <xf numFmtId="44" fontId="65" fillId="0" borderId="30" xfId="61" applyFont="1" applyBorder="1" applyAlignment="1">
      <alignment/>
    </xf>
    <xf numFmtId="0" fontId="65" fillId="0" borderId="30" xfId="0" applyFont="1" applyFill="1" applyBorder="1" applyAlignment="1">
      <alignment horizontal="center" wrapText="1"/>
    </xf>
    <xf numFmtId="0" fontId="62" fillId="0" borderId="30" xfId="0" applyFont="1" applyFill="1" applyBorder="1" applyAlignment="1">
      <alignment/>
    </xf>
    <xf numFmtId="44" fontId="62" fillId="0" borderId="39" xfId="61" applyFont="1" applyFill="1" applyBorder="1" applyAlignment="1">
      <alignment horizontal="center" vertical="center"/>
    </xf>
    <xf numFmtId="0" fontId="65" fillId="0" borderId="44" xfId="0" applyFont="1" applyBorder="1" applyAlignment="1">
      <alignment horizontal="center" wrapText="1"/>
    </xf>
    <xf numFmtId="0" fontId="65" fillId="0" borderId="42" xfId="0" applyFont="1" applyBorder="1" applyAlignment="1">
      <alignment horizontal="center" wrapText="1"/>
    </xf>
    <xf numFmtId="0" fontId="65" fillId="0" borderId="43" xfId="0" applyFont="1" applyBorder="1" applyAlignment="1">
      <alignment horizontal="center" wrapText="1"/>
    </xf>
    <xf numFmtId="0" fontId="65" fillId="0" borderId="30" xfId="0" applyFont="1" applyBorder="1" applyAlignment="1">
      <alignment horizontal="center" wrapText="1"/>
    </xf>
    <xf numFmtId="0" fontId="59" fillId="0" borderId="0" xfId="0" applyFont="1" applyAlignment="1">
      <alignment horizontal="center" vertical="center" wrapText="1"/>
    </xf>
    <xf numFmtId="0" fontId="56" fillId="0" borderId="16" xfId="0" applyFont="1" applyBorder="1" applyAlignment="1">
      <alignment horizontal="center" vertical="center" textRotation="255" wrapText="1"/>
    </xf>
    <xf numFmtId="0" fontId="56" fillId="0" borderId="13" xfId="0" applyFont="1" applyBorder="1" applyAlignment="1">
      <alignment horizontal="center" vertical="center" textRotation="255" wrapText="1"/>
    </xf>
    <xf numFmtId="0" fontId="56" fillId="0" borderId="10" xfId="0" applyFont="1" applyBorder="1" applyAlignment="1">
      <alignment horizontal="center" vertical="center" textRotation="255" wrapText="1"/>
    </xf>
    <xf numFmtId="0" fontId="65" fillId="0" borderId="0" xfId="0" applyFont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7"/>
  <sheetViews>
    <sheetView zoomScalePageLayoutView="0" workbookViewId="0" topLeftCell="B1">
      <pane ySplit="6" topLeftCell="A79" activePane="bottomLeft" state="frozen"/>
      <selection pane="topLeft" activeCell="B1" sqref="B1"/>
      <selection pane="bottomLeft" activeCell="C5" sqref="C5"/>
    </sheetView>
  </sheetViews>
  <sheetFormatPr defaultColWidth="9.140625" defaultRowHeight="15"/>
  <cols>
    <col min="1" max="1" width="56.00390625" style="146" customWidth="1"/>
    <col min="2" max="2" width="15.140625" style="172" customWidth="1"/>
    <col min="3" max="3" width="13.00390625" style="57" customWidth="1"/>
    <col min="4" max="4" width="12.140625" style="57" customWidth="1"/>
    <col min="5" max="5" width="13.7109375" style="57" customWidth="1"/>
    <col min="6" max="6" width="14.7109375" style="57" customWidth="1"/>
    <col min="7" max="7" width="22.8515625" style="57" hidden="1" customWidth="1"/>
    <col min="8" max="8" width="12.28125" style="57" customWidth="1"/>
    <col min="9" max="9" width="12.00390625" style="57" customWidth="1"/>
    <col min="10" max="10" width="13.28125" style="57" customWidth="1"/>
    <col min="11" max="11" width="12.7109375" style="57" customWidth="1"/>
    <col min="12" max="12" width="12.140625" style="57" customWidth="1"/>
    <col min="13" max="13" width="16.140625" style="57" customWidth="1"/>
    <col min="14" max="16384" width="9.140625" style="57" customWidth="1"/>
  </cols>
  <sheetData>
    <row r="1" ht="28.5" customHeight="1">
      <c r="A1" s="117" t="s">
        <v>454</v>
      </c>
    </row>
    <row r="2" ht="12.75"/>
    <row r="3" ht="23.25" customHeight="1">
      <c r="A3" s="118" t="s">
        <v>0</v>
      </c>
    </row>
    <row r="4" spans="1:13" ht="51" customHeight="1">
      <c r="A4" s="119" t="s">
        <v>121</v>
      </c>
      <c r="B4" s="173" t="s">
        <v>1</v>
      </c>
      <c r="C4" s="250" t="s">
        <v>465</v>
      </c>
      <c r="D4" s="251"/>
      <c r="E4" s="252"/>
      <c r="F4" s="170"/>
      <c r="G4" s="169"/>
      <c r="H4" s="250" t="s">
        <v>371</v>
      </c>
      <c r="I4" s="251"/>
      <c r="J4" s="251"/>
      <c r="K4" s="251"/>
      <c r="L4" s="252"/>
      <c r="M4" s="121" t="s">
        <v>369</v>
      </c>
    </row>
    <row r="5" spans="1:13" ht="36" customHeight="1">
      <c r="A5" s="206"/>
      <c r="B5" s="174"/>
      <c r="C5" s="175" t="s">
        <v>374</v>
      </c>
      <c r="D5" s="175" t="s">
        <v>375</v>
      </c>
      <c r="E5" s="175" t="s">
        <v>376</v>
      </c>
      <c r="F5" s="175" t="s">
        <v>380</v>
      </c>
      <c r="G5" s="175" t="s">
        <v>373</v>
      </c>
      <c r="H5" s="175" t="s">
        <v>365</v>
      </c>
      <c r="I5" s="175" t="s">
        <v>366</v>
      </c>
      <c r="J5" s="175" t="s">
        <v>377</v>
      </c>
      <c r="K5" s="175" t="s">
        <v>378</v>
      </c>
      <c r="L5" s="175" t="s">
        <v>368</v>
      </c>
      <c r="M5" s="215" t="s">
        <v>379</v>
      </c>
    </row>
    <row r="6" spans="1:13" ht="12.75">
      <c r="A6" s="188"/>
      <c r="B6" s="176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7"/>
    </row>
    <row r="7" spans="1:13" ht="21" customHeight="1" thickBot="1">
      <c r="A7" s="207" t="s">
        <v>4</v>
      </c>
      <c r="B7" s="178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80"/>
    </row>
    <row r="8" spans="1:13" ht="13.5" thickTop="1">
      <c r="A8" s="188" t="s">
        <v>5</v>
      </c>
      <c r="B8" s="181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3"/>
    </row>
    <row r="9" spans="1:13" ht="12.75">
      <c r="A9" s="188" t="s">
        <v>6</v>
      </c>
      <c r="B9" s="181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3"/>
    </row>
    <row r="10" spans="1:13" ht="12.75">
      <c r="A10" s="188" t="s">
        <v>7</v>
      </c>
      <c r="B10" s="181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3"/>
    </row>
    <row r="11" spans="1:13" ht="12.75">
      <c r="A11" s="188" t="s">
        <v>183</v>
      </c>
      <c r="B11" s="181">
        <v>189280</v>
      </c>
      <c r="C11" s="182">
        <v>186229.35</v>
      </c>
      <c r="D11" s="182">
        <f>149465.35</f>
        <v>149465.35</v>
      </c>
      <c r="E11" s="182">
        <f>C11-D11</f>
        <v>36764</v>
      </c>
      <c r="F11" s="184">
        <f>C12-B12</f>
        <v>-3050.649999999994</v>
      </c>
      <c r="G11" s="182"/>
      <c r="H11" s="182">
        <v>14685</v>
      </c>
      <c r="I11" s="182"/>
      <c r="J11" s="182">
        <v>12025.8</v>
      </c>
      <c r="K11" s="182">
        <f>H11-J11</f>
        <v>2659.2000000000007</v>
      </c>
      <c r="L11" s="182">
        <f>E11+K11</f>
        <v>39423.2</v>
      </c>
      <c r="M11" s="183">
        <f>D11+J11</f>
        <v>161491.15</v>
      </c>
    </row>
    <row r="12" spans="1:13" ht="26.25" thickBot="1">
      <c r="A12" s="208" t="s">
        <v>8</v>
      </c>
      <c r="B12" s="185">
        <f>SUM(B9:B11)</f>
        <v>189280</v>
      </c>
      <c r="C12" s="186">
        <f>SUM(C8:C11)</f>
        <v>186229.35</v>
      </c>
      <c r="D12" s="186">
        <f>SUM(D8:D11)</f>
        <v>149465.35</v>
      </c>
      <c r="E12" s="186">
        <f>SUM(E8:E11)</f>
        <v>36764</v>
      </c>
      <c r="F12" s="186">
        <f>SUM(F9:F11)</f>
        <v>-3050.649999999994</v>
      </c>
      <c r="G12" s="186"/>
      <c r="H12" s="186">
        <f>SUM(H8:H11)</f>
        <v>14685</v>
      </c>
      <c r="I12" s="186">
        <f>SUM(I8:I11)</f>
        <v>0</v>
      </c>
      <c r="J12" s="186">
        <f>SUM(J8:J11)</f>
        <v>12025.8</v>
      </c>
      <c r="K12" s="186">
        <f>SUM(K8:K11)</f>
        <v>2659.2000000000007</v>
      </c>
      <c r="L12" s="186">
        <f>SUM(E12+K12)</f>
        <v>39423.2</v>
      </c>
      <c r="M12" s="187">
        <f>SUM(M8:M11)</f>
        <v>161491.15</v>
      </c>
    </row>
    <row r="13" spans="1:13" ht="13.5" thickTop="1">
      <c r="A13" s="188"/>
      <c r="B13" s="181"/>
      <c r="C13" s="182"/>
      <c r="D13" s="182"/>
      <c r="E13" s="182"/>
      <c r="F13" s="182">
        <f>C13-B13</f>
        <v>0</v>
      </c>
      <c r="G13" s="182"/>
      <c r="H13" s="182"/>
      <c r="I13" s="182"/>
      <c r="J13" s="182"/>
      <c r="K13" s="182"/>
      <c r="L13" s="182">
        <f>E13+K13</f>
        <v>0</v>
      </c>
      <c r="M13" s="183">
        <f>D13+J13</f>
        <v>0</v>
      </c>
    </row>
    <row r="14" spans="1:13" ht="25.5">
      <c r="A14" s="188" t="s">
        <v>9</v>
      </c>
      <c r="B14" s="181"/>
      <c r="C14" s="182"/>
      <c r="D14" s="182"/>
      <c r="E14" s="182"/>
      <c r="F14" s="182">
        <f>B14-C14</f>
        <v>0</v>
      </c>
      <c r="G14" s="182"/>
      <c r="H14" s="182"/>
      <c r="I14" s="182"/>
      <c r="J14" s="182"/>
      <c r="K14" s="182"/>
      <c r="L14" s="182">
        <f aca="true" t="shared" si="0" ref="L14:L22">E14+K14</f>
        <v>0</v>
      </c>
      <c r="M14" s="183">
        <f aca="true" t="shared" si="1" ref="M14:M27">D14+J14</f>
        <v>0</v>
      </c>
    </row>
    <row r="15" spans="1:13" ht="12.75">
      <c r="A15" s="188" t="s">
        <v>10</v>
      </c>
      <c r="B15" s="181"/>
      <c r="C15" s="182"/>
      <c r="D15" s="182"/>
      <c r="E15" s="182"/>
      <c r="F15" s="184">
        <f>C15-B15</f>
        <v>0</v>
      </c>
      <c r="G15" s="182"/>
      <c r="H15" s="182"/>
      <c r="I15" s="182"/>
      <c r="J15" s="182"/>
      <c r="K15" s="182"/>
      <c r="L15" s="182">
        <f t="shared" si="0"/>
        <v>0</v>
      </c>
      <c r="M15" s="183">
        <f t="shared" si="1"/>
        <v>0</v>
      </c>
    </row>
    <row r="16" spans="1:13" ht="12.75">
      <c r="A16" s="188" t="s">
        <v>11</v>
      </c>
      <c r="B16" s="181">
        <v>0</v>
      </c>
      <c r="C16" s="182"/>
      <c r="D16" s="182">
        <f>C16</f>
        <v>0</v>
      </c>
      <c r="E16" s="182">
        <f>C16-D16</f>
        <v>0</v>
      </c>
      <c r="F16" s="184">
        <f>C16-B16</f>
        <v>0</v>
      </c>
      <c r="G16" s="182"/>
      <c r="H16" s="182"/>
      <c r="I16" s="182"/>
      <c r="J16" s="182"/>
      <c r="K16" s="182"/>
      <c r="L16" s="182">
        <f t="shared" si="0"/>
        <v>0</v>
      </c>
      <c r="M16" s="183">
        <f t="shared" si="1"/>
        <v>0</v>
      </c>
    </row>
    <row r="17" spans="1:13" ht="12.75">
      <c r="A17" s="188" t="s">
        <v>355</v>
      </c>
      <c r="B17" s="181">
        <v>0</v>
      </c>
      <c r="C17" s="182">
        <v>200</v>
      </c>
      <c r="D17" s="182">
        <v>200</v>
      </c>
      <c r="E17" s="182">
        <f>C17-D17</f>
        <v>0</v>
      </c>
      <c r="F17" s="182">
        <f>C17-B17</f>
        <v>200</v>
      </c>
      <c r="G17" s="182"/>
      <c r="H17" s="182"/>
      <c r="I17" s="182"/>
      <c r="J17" s="182"/>
      <c r="K17" s="182"/>
      <c r="L17" s="182">
        <f t="shared" si="0"/>
        <v>0</v>
      </c>
      <c r="M17" s="183">
        <f t="shared" si="1"/>
        <v>200</v>
      </c>
    </row>
    <row r="18" spans="1:13" ht="26.25" thickBot="1">
      <c r="A18" s="208" t="s">
        <v>12</v>
      </c>
      <c r="B18" s="186">
        <f>SUM(B15:B17)</f>
        <v>0</v>
      </c>
      <c r="C18" s="186">
        <f>SUM(C13:C17)</f>
        <v>200</v>
      </c>
      <c r="D18" s="186">
        <f>SUM(D15:D17)</f>
        <v>200</v>
      </c>
      <c r="E18" s="186">
        <f>SUM(E16:E17)</f>
        <v>0</v>
      </c>
      <c r="F18" s="186">
        <f>SUM(F13:F17)</f>
        <v>200</v>
      </c>
      <c r="G18" s="186"/>
      <c r="H18" s="186"/>
      <c r="I18" s="186"/>
      <c r="J18" s="186"/>
      <c r="K18" s="186"/>
      <c r="L18" s="186">
        <f>SUM(L13:L17)</f>
        <v>0</v>
      </c>
      <c r="M18" s="187">
        <f>SUM(M15:M17)</f>
        <v>200</v>
      </c>
    </row>
    <row r="19" spans="1:13" ht="13.5" thickTop="1">
      <c r="A19" s="188"/>
      <c r="B19" s="181"/>
      <c r="C19" s="182"/>
      <c r="D19" s="182"/>
      <c r="E19" s="182"/>
      <c r="F19" s="182">
        <f>C19-B19</f>
        <v>0</v>
      </c>
      <c r="G19" s="182"/>
      <c r="H19" s="182"/>
      <c r="I19" s="182"/>
      <c r="J19" s="182"/>
      <c r="K19" s="182"/>
      <c r="L19" s="182">
        <f t="shared" si="0"/>
        <v>0</v>
      </c>
      <c r="M19" s="183">
        <f t="shared" si="1"/>
        <v>0</v>
      </c>
    </row>
    <row r="20" spans="1:15" ht="25.5">
      <c r="A20" s="188" t="s">
        <v>13</v>
      </c>
      <c r="B20" s="181"/>
      <c r="C20" s="182"/>
      <c r="D20" s="182"/>
      <c r="E20" s="182"/>
      <c r="F20" s="182">
        <f>C20-B20</f>
        <v>0</v>
      </c>
      <c r="G20" s="182"/>
      <c r="H20" s="182"/>
      <c r="I20" s="182"/>
      <c r="J20" s="182"/>
      <c r="K20" s="182"/>
      <c r="L20" s="182">
        <f t="shared" si="0"/>
        <v>0</v>
      </c>
      <c r="M20" s="183">
        <f t="shared" si="1"/>
        <v>0</v>
      </c>
      <c r="O20" s="171"/>
    </row>
    <row r="21" spans="1:13" ht="12.75">
      <c r="A21" s="188" t="s">
        <v>14</v>
      </c>
      <c r="B21" s="181">
        <v>400</v>
      </c>
      <c r="C21" s="182">
        <v>667.9</v>
      </c>
      <c r="D21" s="182">
        <f>667.9</f>
        <v>667.9</v>
      </c>
      <c r="E21" s="182">
        <f>C21-D21</f>
        <v>0</v>
      </c>
      <c r="F21" s="182">
        <f>C21-B21</f>
        <v>267.9</v>
      </c>
      <c r="G21" s="182"/>
      <c r="H21" s="182"/>
      <c r="I21" s="182"/>
      <c r="J21" s="182"/>
      <c r="K21" s="182"/>
      <c r="L21" s="182">
        <f t="shared" si="0"/>
        <v>0</v>
      </c>
      <c r="M21" s="183">
        <f t="shared" si="1"/>
        <v>667.9</v>
      </c>
    </row>
    <row r="22" spans="1:13" ht="12.75">
      <c r="A22" s="188"/>
      <c r="B22" s="181"/>
      <c r="C22" s="182"/>
      <c r="D22" s="182"/>
      <c r="E22" s="182"/>
      <c r="F22" s="182">
        <f>C22-B22</f>
        <v>0</v>
      </c>
      <c r="G22" s="182"/>
      <c r="H22" s="182"/>
      <c r="I22" s="182"/>
      <c r="J22" s="182"/>
      <c r="K22" s="182"/>
      <c r="L22" s="182">
        <f t="shared" si="0"/>
        <v>0</v>
      </c>
      <c r="M22" s="183">
        <f t="shared" si="1"/>
        <v>0</v>
      </c>
    </row>
    <row r="23" spans="1:13" ht="26.25" thickBot="1">
      <c r="A23" s="208" t="s">
        <v>15</v>
      </c>
      <c r="B23" s="186">
        <f>SUM(B20:B22)</f>
        <v>400</v>
      </c>
      <c r="C23" s="186">
        <f>SUM(C21:C22)</f>
        <v>667.9</v>
      </c>
      <c r="D23" s="186">
        <f>SUM(D20:D22)</f>
        <v>667.9</v>
      </c>
      <c r="E23" s="186">
        <f>SUM(E20:E22)</f>
        <v>0</v>
      </c>
      <c r="F23" s="186">
        <f>SUM(F19:F22)</f>
        <v>267.9</v>
      </c>
      <c r="G23" s="186"/>
      <c r="H23" s="186"/>
      <c r="I23" s="186"/>
      <c r="J23" s="186"/>
      <c r="K23" s="186"/>
      <c r="L23" s="186">
        <f>SUM(L19:L22)</f>
        <v>0</v>
      </c>
      <c r="M23" s="187">
        <f>SUM(M20:M22)</f>
        <v>667.9</v>
      </c>
    </row>
    <row r="24" spans="1:13" ht="13.5" thickTop="1">
      <c r="A24" s="188"/>
      <c r="B24" s="181"/>
      <c r="C24" s="182"/>
      <c r="D24" s="182"/>
      <c r="E24" s="182"/>
      <c r="F24" s="182">
        <f>C24-B24</f>
        <v>0</v>
      </c>
      <c r="G24" s="182"/>
      <c r="H24" s="182"/>
      <c r="I24" s="182"/>
      <c r="J24" s="182"/>
      <c r="K24" s="182"/>
      <c r="L24" s="182">
        <f>E24+K24</f>
        <v>0</v>
      </c>
      <c r="M24" s="183">
        <f t="shared" si="1"/>
        <v>0</v>
      </c>
    </row>
    <row r="25" spans="1:13" ht="25.5">
      <c r="A25" s="188" t="s">
        <v>16</v>
      </c>
      <c r="B25" s="181"/>
      <c r="C25" s="182"/>
      <c r="D25" s="182"/>
      <c r="E25" s="182"/>
      <c r="F25" s="182">
        <f>C25-B25</f>
        <v>0</v>
      </c>
      <c r="G25" s="182"/>
      <c r="H25" s="182"/>
      <c r="I25" s="182"/>
      <c r="J25" s="182"/>
      <c r="K25" s="182"/>
      <c r="L25" s="182">
        <f>E25+K25</f>
        <v>0</v>
      </c>
      <c r="M25" s="183">
        <f t="shared" si="1"/>
        <v>0</v>
      </c>
    </row>
    <row r="26" spans="1:13" ht="12.75">
      <c r="A26" s="188" t="s">
        <v>458</v>
      </c>
      <c r="B26" s="181">
        <v>0</v>
      </c>
      <c r="C26" s="182">
        <v>0</v>
      </c>
      <c r="D26" s="182">
        <v>0</v>
      </c>
      <c r="E26" s="182">
        <f>C26-D26</f>
        <v>0</v>
      </c>
      <c r="F26" s="182">
        <f>C26-B26</f>
        <v>0</v>
      </c>
      <c r="G26" s="182"/>
      <c r="H26" s="182"/>
      <c r="I26" s="182"/>
      <c r="J26" s="182"/>
      <c r="K26" s="182"/>
      <c r="L26" s="182">
        <f>E26+K26</f>
        <v>0</v>
      </c>
      <c r="M26" s="183">
        <f t="shared" si="1"/>
        <v>0</v>
      </c>
    </row>
    <row r="27" spans="1:13" ht="12.75">
      <c r="A27" s="188"/>
      <c r="B27" s="181"/>
      <c r="C27" s="182"/>
      <c r="D27" s="182"/>
      <c r="E27" s="182"/>
      <c r="F27" s="182">
        <f>C27-B27</f>
        <v>0</v>
      </c>
      <c r="G27" s="182"/>
      <c r="H27" s="182"/>
      <c r="I27" s="182"/>
      <c r="J27" s="182"/>
      <c r="K27" s="182"/>
      <c r="L27" s="182">
        <f>E27+K27</f>
        <v>0</v>
      </c>
      <c r="M27" s="183">
        <f t="shared" si="1"/>
        <v>0</v>
      </c>
    </row>
    <row r="28" spans="1:13" ht="26.25" thickBot="1">
      <c r="A28" s="208" t="s">
        <v>17</v>
      </c>
      <c r="B28" s="186">
        <f>SUM(B31:B32)</f>
        <v>0</v>
      </c>
      <c r="C28" s="186">
        <f>SUM(C26:C27)</f>
        <v>0</v>
      </c>
      <c r="D28" s="186">
        <f>SUM(D26:D27)</f>
        <v>0</v>
      </c>
      <c r="E28" s="186">
        <f>SUM(E26:E27)</f>
        <v>0</v>
      </c>
      <c r="F28" s="186">
        <f>SUM(F24:F27)</f>
        <v>0</v>
      </c>
      <c r="G28" s="186"/>
      <c r="H28" s="186">
        <f>SUM(H26:H27)</f>
        <v>0</v>
      </c>
      <c r="I28" s="186">
        <f>SUM(I26:I27)</f>
        <v>0</v>
      </c>
      <c r="J28" s="186">
        <f>SUM(J26:J27)</f>
        <v>0</v>
      </c>
      <c r="K28" s="186">
        <f>SUM(K26:K27)</f>
        <v>0</v>
      </c>
      <c r="L28" s="186">
        <f>SUM(L24:L27)</f>
        <v>0</v>
      </c>
      <c r="M28" s="187">
        <f>SUM(M24:M27)</f>
        <v>0</v>
      </c>
    </row>
    <row r="29" spans="1:13" ht="13.5" thickTop="1">
      <c r="A29" s="188"/>
      <c r="B29" s="181"/>
      <c r="C29" s="182"/>
      <c r="D29" s="182"/>
      <c r="E29" s="182"/>
      <c r="F29" s="182">
        <f>B29-C29</f>
        <v>0</v>
      </c>
      <c r="G29" s="182"/>
      <c r="H29" s="182"/>
      <c r="I29" s="182"/>
      <c r="J29" s="182"/>
      <c r="K29" s="182"/>
      <c r="L29" s="182">
        <f>E29+K29</f>
        <v>0</v>
      </c>
      <c r="M29" s="183">
        <f>D29+J29</f>
        <v>0</v>
      </c>
    </row>
    <row r="30" spans="1:13" ht="25.5">
      <c r="A30" s="188" t="s">
        <v>18</v>
      </c>
      <c r="B30" s="181"/>
      <c r="C30" s="182"/>
      <c r="D30" s="182"/>
      <c r="E30" s="182"/>
      <c r="F30" s="182">
        <f>B30-C30</f>
        <v>0</v>
      </c>
      <c r="G30" s="182"/>
      <c r="H30" s="182"/>
      <c r="I30" s="182"/>
      <c r="J30" s="182"/>
      <c r="K30" s="182"/>
      <c r="L30" s="182">
        <f>E30+K30</f>
        <v>0</v>
      </c>
      <c r="M30" s="183">
        <f>D30+J30</f>
        <v>0</v>
      </c>
    </row>
    <row r="31" spans="1:13" ht="12.75">
      <c r="A31" s="188" t="s">
        <v>19</v>
      </c>
      <c r="B31" s="181"/>
      <c r="C31" s="182"/>
      <c r="D31" s="182"/>
      <c r="E31" s="182"/>
      <c r="F31" s="182">
        <f>B31-C31</f>
        <v>0</v>
      </c>
      <c r="G31" s="182"/>
      <c r="H31" s="182"/>
      <c r="I31" s="182"/>
      <c r="J31" s="182"/>
      <c r="K31" s="182"/>
      <c r="L31" s="182">
        <f>E31+K31</f>
        <v>0</v>
      </c>
      <c r="M31" s="183">
        <f>D31+J31</f>
        <v>0</v>
      </c>
    </row>
    <row r="32" spans="1:13" ht="12.75">
      <c r="A32" s="188"/>
      <c r="B32" s="181"/>
      <c r="C32" s="182"/>
      <c r="D32" s="182"/>
      <c r="E32" s="182"/>
      <c r="F32" s="182">
        <f>B32-C32</f>
        <v>0</v>
      </c>
      <c r="G32" s="182"/>
      <c r="H32" s="182"/>
      <c r="I32" s="182"/>
      <c r="J32" s="182"/>
      <c r="K32" s="182"/>
      <c r="L32" s="182">
        <f>E32+K32</f>
        <v>0</v>
      </c>
      <c r="M32" s="183">
        <f>D32+J32</f>
        <v>0</v>
      </c>
    </row>
    <row r="33" spans="1:13" ht="26.25" thickBot="1">
      <c r="A33" s="208" t="s">
        <v>20</v>
      </c>
      <c r="B33" s="186">
        <f>SUM(B28:B32)</f>
        <v>0</v>
      </c>
      <c r="C33" s="186"/>
      <c r="D33" s="186"/>
      <c r="E33" s="186"/>
      <c r="F33" s="186">
        <f>B33-C33</f>
        <v>0</v>
      </c>
      <c r="G33" s="186"/>
      <c r="H33" s="186"/>
      <c r="I33" s="186"/>
      <c r="J33" s="186"/>
      <c r="K33" s="186"/>
      <c r="L33" s="186">
        <f>SUM(L29:L32)</f>
        <v>0</v>
      </c>
      <c r="M33" s="187">
        <f>SUM(M29:M32)</f>
        <v>0</v>
      </c>
    </row>
    <row r="34" spans="1:13" ht="13.5" thickTop="1">
      <c r="A34" s="188"/>
      <c r="B34" s="181"/>
      <c r="C34" s="182"/>
      <c r="D34" s="182"/>
      <c r="E34" s="182"/>
      <c r="F34" s="182">
        <f>C34-B34</f>
        <v>0</v>
      </c>
      <c r="G34" s="182"/>
      <c r="H34" s="182"/>
      <c r="I34" s="182"/>
      <c r="J34" s="182"/>
      <c r="K34" s="182"/>
      <c r="L34" s="182">
        <f>E34+K24</f>
        <v>0</v>
      </c>
      <c r="M34" s="183">
        <f>D34+J34</f>
        <v>0</v>
      </c>
    </row>
    <row r="35" spans="1:13" ht="12.75">
      <c r="A35" s="188" t="s">
        <v>21</v>
      </c>
      <c r="B35" s="181"/>
      <c r="C35" s="182"/>
      <c r="D35" s="182"/>
      <c r="E35" s="182"/>
      <c r="F35" s="182">
        <f>C35-B35</f>
        <v>0</v>
      </c>
      <c r="G35" s="182"/>
      <c r="H35" s="182"/>
      <c r="I35" s="182"/>
      <c r="J35" s="182"/>
      <c r="K35" s="182"/>
      <c r="L35" s="182">
        <f>E35+K25</f>
        <v>0</v>
      </c>
      <c r="M35" s="183">
        <f>D35+J35</f>
        <v>0</v>
      </c>
    </row>
    <row r="36" spans="1:13" ht="12.75">
      <c r="A36" s="188" t="s">
        <v>22</v>
      </c>
      <c r="B36" s="181">
        <v>100</v>
      </c>
      <c r="C36" s="182">
        <v>213.16</v>
      </c>
      <c r="D36" s="182">
        <v>213.16</v>
      </c>
      <c r="E36" s="182">
        <f>C36-D36</f>
        <v>0</v>
      </c>
      <c r="F36" s="184">
        <f>C36-B36</f>
        <v>113.16</v>
      </c>
      <c r="G36" s="182"/>
      <c r="H36" s="182"/>
      <c r="I36" s="182"/>
      <c r="J36" s="182"/>
      <c r="K36" s="182"/>
      <c r="L36" s="182">
        <f>E36+K26</f>
        <v>0</v>
      </c>
      <c r="M36" s="183">
        <f>D36+J36</f>
        <v>213.16</v>
      </c>
    </row>
    <row r="37" spans="1:13" ht="12.75">
      <c r="A37" s="188" t="s">
        <v>184</v>
      </c>
      <c r="B37" s="181">
        <v>3810</v>
      </c>
      <c r="C37" s="182">
        <v>3804.74</v>
      </c>
      <c r="D37" s="182">
        <v>3804.74</v>
      </c>
      <c r="E37" s="182">
        <f>C37-D37</f>
        <v>0</v>
      </c>
      <c r="F37" s="182">
        <f>C37-B37</f>
        <v>-5.260000000000218</v>
      </c>
      <c r="G37" s="182"/>
      <c r="H37" s="182"/>
      <c r="I37" s="182"/>
      <c r="J37" s="182"/>
      <c r="K37" s="182"/>
      <c r="L37" s="182">
        <f>E37+K27</f>
        <v>0</v>
      </c>
      <c r="M37" s="183">
        <f>D37+J37</f>
        <v>3804.74</v>
      </c>
    </row>
    <row r="38" spans="1:13" ht="13.5" thickBot="1">
      <c r="A38" s="208" t="s">
        <v>23</v>
      </c>
      <c r="B38" s="186">
        <f>SUM(B36:B37)</f>
        <v>3910</v>
      </c>
      <c r="C38" s="186">
        <f>SUM(C36:C37)</f>
        <v>4017.8999999999996</v>
      </c>
      <c r="D38" s="186">
        <f>SUM(D36:D37)</f>
        <v>4017.8999999999996</v>
      </c>
      <c r="E38" s="186">
        <f>C38-D38</f>
        <v>0</v>
      </c>
      <c r="F38" s="186">
        <f>SUM(F34:F37)</f>
        <v>107.89999999999978</v>
      </c>
      <c r="G38" s="186"/>
      <c r="H38" s="186"/>
      <c r="I38" s="186"/>
      <c r="J38" s="186"/>
      <c r="K38" s="186"/>
      <c r="L38" s="186">
        <f>SUM(L34:L37)</f>
        <v>0</v>
      </c>
      <c r="M38" s="187">
        <f>SUM(M36:M37)</f>
        <v>4017.8999999999996</v>
      </c>
    </row>
    <row r="39" spans="1:13" ht="13.5" thickTop="1">
      <c r="A39" s="188"/>
      <c r="B39" s="181"/>
      <c r="C39" s="182"/>
      <c r="D39" s="182"/>
      <c r="E39" s="182"/>
      <c r="F39" s="182">
        <f>C39-B39</f>
        <v>0</v>
      </c>
      <c r="G39" s="182"/>
      <c r="H39" s="182"/>
      <c r="I39" s="182"/>
      <c r="J39" s="182"/>
      <c r="K39" s="182"/>
      <c r="L39" s="182">
        <f>E39+K39</f>
        <v>0</v>
      </c>
      <c r="M39" s="183">
        <f>D39+J39</f>
        <v>0</v>
      </c>
    </row>
    <row r="40" spans="1:13" ht="25.5">
      <c r="A40" s="188" t="s">
        <v>24</v>
      </c>
      <c r="B40" s="181"/>
      <c r="C40" s="182"/>
      <c r="D40" s="182"/>
      <c r="E40" s="182"/>
      <c r="F40" s="182">
        <f>C40-B40</f>
        <v>0</v>
      </c>
      <c r="G40" s="182"/>
      <c r="H40" s="182"/>
      <c r="I40" s="182"/>
      <c r="J40" s="182"/>
      <c r="K40" s="182"/>
      <c r="L40" s="182">
        <f>E40+K40</f>
        <v>0</v>
      </c>
      <c r="M40" s="183">
        <f>D40+J40</f>
        <v>0</v>
      </c>
    </row>
    <row r="41" spans="1:13" ht="12.75">
      <c r="A41" s="188" t="s">
        <v>25</v>
      </c>
      <c r="B41" s="181"/>
      <c r="C41" s="182">
        <v>0</v>
      </c>
      <c r="D41" s="182">
        <v>0</v>
      </c>
      <c r="E41" s="182">
        <f>D41-C41</f>
        <v>0</v>
      </c>
      <c r="F41" s="182">
        <f>C41-B41</f>
        <v>0</v>
      </c>
      <c r="G41" s="182"/>
      <c r="H41" s="182"/>
      <c r="I41" s="182"/>
      <c r="J41" s="182"/>
      <c r="K41" s="182"/>
      <c r="L41" s="182">
        <f>E41+K41</f>
        <v>0</v>
      </c>
      <c r="M41" s="183">
        <f>D41+J41</f>
        <v>0</v>
      </c>
    </row>
    <row r="42" spans="1:13" ht="12.75">
      <c r="A42" s="188"/>
      <c r="B42" s="181"/>
      <c r="C42" s="182"/>
      <c r="D42" s="182"/>
      <c r="E42" s="182"/>
      <c r="F42" s="182">
        <f>C42-B42</f>
        <v>0</v>
      </c>
      <c r="G42" s="182"/>
      <c r="H42" s="182"/>
      <c r="I42" s="182"/>
      <c r="J42" s="182"/>
      <c r="K42" s="182"/>
      <c r="L42" s="182">
        <f>E42+K42</f>
        <v>0</v>
      </c>
      <c r="M42" s="183">
        <f>D42+J42</f>
        <v>0</v>
      </c>
    </row>
    <row r="43" spans="1:13" ht="26.25" thickBot="1">
      <c r="A43" s="208" t="s">
        <v>26</v>
      </c>
      <c r="B43" s="186">
        <f>SUM(B41:B42)</f>
        <v>0</v>
      </c>
      <c r="C43" s="186">
        <f>SUM(C41:C42)</f>
        <v>0</v>
      </c>
      <c r="D43" s="186">
        <f>SUM(D40:D42)</f>
        <v>0</v>
      </c>
      <c r="E43" s="186">
        <f>SUM(E39:E42)</f>
        <v>0</v>
      </c>
      <c r="F43" s="186">
        <f>SUM(F39:F42)</f>
        <v>0</v>
      </c>
      <c r="G43" s="186"/>
      <c r="H43" s="186"/>
      <c r="I43" s="186"/>
      <c r="J43" s="186"/>
      <c r="K43" s="186"/>
      <c r="L43" s="186">
        <f>SUM(L39:L42)</f>
        <v>0</v>
      </c>
      <c r="M43" s="187">
        <f>SUM(M41:M42)</f>
        <v>0</v>
      </c>
    </row>
    <row r="44" spans="1:13" ht="13.5" thickTop="1">
      <c r="A44" s="188"/>
      <c r="B44" s="181"/>
      <c r="C44" s="182"/>
      <c r="D44" s="182"/>
      <c r="E44" s="182"/>
      <c r="F44" s="182">
        <f aca="true" t="shared" si="2" ref="F44:F49">C44-B44</f>
        <v>0</v>
      </c>
      <c r="G44" s="182"/>
      <c r="H44" s="182"/>
      <c r="I44" s="182"/>
      <c r="J44" s="182"/>
      <c r="K44" s="182"/>
      <c r="L44" s="182">
        <f aca="true" t="shared" si="3" ref="L44:L49">E44+K44</f>
        <v>0</v>
      </c>
      <c r="M44" s="183">
        <f aca="true" t="shared" si="4" ref="M44:M49">D44+J44</f>
        <v>0</v>
      </c>
    </row>
    <row r="45" spans="1:13" ht="12.75">
      <c r="A45" s="188" t="s">
        <v>27</v>
      </c>
      <c r="B45" s="181"/>
      <c r="C45" s="182"/>
      <c r="D45" s="182"/>
      <c r="E45" s="182"/>
      <c r="F45" s="182">
        <f t="shared" si="2"/>
        <v>0</v>
      </c>
      <c r="G45" s="182"/>
      <c r="H45" s="182"/>
      <c r="I45" s="182"/>
      <c r="J45" s="182"/>
      <c r="K45" s="182"/>
      <c r="L45" s="182">
        <f t="shared" si="3"/>
        <v>0</v>
      </c>
      <c r="M45" s="183">
        <f t="shared" si="4"/>
        <v>0</v>
      </c>
    </row>
    <row r="46" spans="1:13" ht="12.75">
      <c r="A46" s="188" t="s">
        <v>28</v>
      </c>
      <c r="B46" s="181">
        <v>0</v>
      </c>
      <c r="C46" s="182">
        <v>0</v>
      </c>
      <c r="D46" s="182">
        <v>0</v>
      </c>
      <c r="E46" s="182"/>
      <c r="F46" s="182">
        <f t="shared" si="2"/>
        <v>0</v>
      </c>
      <c r="G46" s="182"/>
      <c r="H46" s="182">
        <v>0</v>
      </c>
      <c r="I46" s="182"/>
      <c r="J46" s="182">
        <v>0</v>
      </c>
      <c r="K46" s="182">
        <f>H46-J46</f>
        <v>0</v>
      </c>
      <c r="L46" s="182">
        <f t="shared" si="3"/>
        <v>0</v>
      </c>
      <c r="M46" s="183">
        <f t="shared" si="4"/>
        <v>0</v>
      </c>
    </row>
    <row r="47" spans="1:13" ht="12.75">
      <c r="A47" s="188" t="s">
        <v>459</v>
      </c>
      <c r="B47" s="181">
        <v>0</v>
      </c>
      <c r="C47" s="182">
        <v>38.12</v>
      </c>
      <c r="D47" s="182">
        <v>38.12</v>
      </c>
      <c r="E47" s="182"/>
      <c r="F47" s="182">
        <f t="shared" si="2"/>
        <v>38.12</v>
      </c>
      <c r="G47" s="182"/>
      <c r="H47" s="182">
        <v>0</v>
      </c>
      <c r="I47" s="182"/>
      <c r="J47" s="182">
        <v>0</v>
      </c>
      <c r="K47" s="182">
        <f>H47-J47</f>
        <v>0</v>
      </c>
      <c r="L47" s="182">
        <f t="shared" si="3"/>
        <v>0</v>
      </c>
      <c r="M47" s="183">
        <f t="shared" si="4"/>
        <v>38.12</v>
      </c>
    </row>
    <row r="48" spans="1:13" ht="12.75">
      <c r="A48" s="188"/>
      <c r="B48" s="181"/>
      <c r="C48" s="182"/>
      <c r="D48" s="182"/>
      <c r="E48" s="182"/>
      <c r="F48" s="182">
        <f t="shared" si="2"/>
        <v>0</v>
      </c>
      <c r="G48" s="182"/>
      <c r="H48" s="182"/>
      <c r="I48" s="182"/>
      <c r="J48" s="182"/>
      <c r="K48" s="182"/>
      <c r="L48" s="182">
        <f t="shared" si="3"/>
        <v>0</v>
      </c>
      <c r="M48" s="183">
        <f t="shared" si="4"/>
        <v>0</v>
      </c>
    </row>
    <row r="49" spans="1:13" ht="12.75">
      <c r="A49" s="188"/>
      <c r="B49" s="181"/>
      <c r="C49" s="182"/>
      <c r="D49" s="182"/>
      <c r="E49" s="182"/>
      <c r="F49" s="182">
        <f t="shared" si="2"/>
        <v>0</v>
      </c>
      <c r="G49" s="182"/>
      <c r="H49" s="182"/>
      <c r="I49" s="182"/>
      <c r="J49" s="182"/>
      <c r="K49" s="182"/>
      <c r="L49" s="182">
        <f t="shared" si="3"/>
        <v>0</v>
      </c>
      <c r="M49" s="183">
        <f t="shared" si="4"/>
        <v>0</v>
      </c>
    </row>
    <row r="50" spans="1:13" ht="13.5" thickBot="1">
      <c r="A50" s="208" t="s">
        <v>29</v>
      </c>
      <c r="B50" s="186">
        <f>SUM(B46:B49)</f>
        <v>0</v>
      </c>
      <c r="C50" s="186">
        <f>SUM(C46:C49)</f>
        <v>38.12</v>
      </c>
      <c r="D50" s="186">
        <f>SUM(D46:D49)</f>
        <v>38.12</v>
      </c>
      <c r="E50" s="186">
        <f>SUM(E46:E49)</f>
        <v>0</v>
      </c>
      <c r="F50" s="186">
        <f>SUM(F44:F49)</f>
        <v>38.12</v>
      </c>
      <c r="G50" s="186"/>
      <c r="H50" s="186">
        <f>SUM(H46:H49)</f>
        <v>0</v>
      </c>
      <c r="I50" s="186">
        <f>SUM(I46:I49)</f>
        <v>0</v>
      </c>
      <c r="J50" s="186">
        <f>SUM(J44:J49)</f>
        <v>0</v>
      </c>
      <c r="K50" s="186"/>
      <c r="L50" s="186">
        <f>SUM(L44:L49)</f>
        <v>0</v>
      </c>
      <c r="M50" s="187">
        <f>SUM(M46:M49)</f>
        <v>38.12</v>
      </c>
    </row>
    <row r="51" spans="1:13" ht="14.25" thickBot="1" thickTop="1">
      <c r="A51" s="188"/>
      <c r="B51" s="181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3"/>
    </row>
    <row r="52" spans="1:13" ht="24" customHeight="1" thickBot="1">
      <c r="A52" s="209" t="s">
        <v>30</v>
      </c>
      <c r="B52" s="189">
        <f aca="true" t="shared" si="5" ref="B52:K52">B50+B43+B38+B33+B28+B23+B18+B12</f>
        <v>193590</v>
      </c>
      <c r="C52" s="190">
        <f t="shared" si="5"/>
        <v>191153.27000000002</v>
      </c>
      <c r="D52" s="190">
        <f t="shared" si="5"/>
        <v>154389.27000000002</v>
      </c>
      <c r="E52" s="190">
        <f t="shared" si="5"/>
        <v>36764</v>
      </c>
      <c r="F52" s="190">
        <f t="shared" si="5"/>
        <v>-2436.7299999999946</v>
      </c>
      <c r="G52" s="190">
        <f t="shared" si="5"/>
        <v>0</v>
      </c>
      <c r="H52" s="190">
        <f t="shared" si="5"/>
        <v>14685</v>
      </c>
      <c r="I52" s="190">
        <f t="shared" si="5"/>
        <v>0</v>
      </c>
      <c r="J52" s="190">
        <f t="shared" si="5"/>
        <v>12025.8</v>
      </c>
      <c r="K52" s="190">
        <f t="shared" si="5"/>
        <v>2659.2000000000007</v>
      </c>
      <c r="L52" s="190">
        <f>L12+L18+L23+L28+L33+L38+L43+L50</f>
        <v>39423.2</v>
      </c>
      <c r="M52" s="191">
        <f>M50+M43+M38+M33+M28+M23+M18+M12</f>
        <v>166415.07</v>
      </c>
    </row>
    <row r="53" spans="1:13" ht="12.75">
      <c r="A53" s="210"/>
      <c r="B53" s="192"/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4"/>
    </row>
    <row r="54" spans="1:13" ht="22.5" customHeight="1">
      <c r="A54" s="211" t="s">
        <v>31</v>
      </c>
      <c r="B54" s="178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80"/>
    </row>
    <row r="55" spans="1:13" ht="12.75">
      <c r="A55" s="188"/>
      <c r="B55" s="181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3"/>
    </row>
    <row r="56" spans="1:13" ht="12.75">
      <c r="A56" s="188" t="s">
        <v>32</v>
      </c>
      <c r="B56" s="181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3"/>
    </row>
    <row r="57" spans="1:13" ht="12.75">
      <c r="A57" s="188" t="s">
        <v>33</v>
      </c>
      <c r="B57" s="181"/>
      <c r="C57" s="182"/>
      <c r="D57" s="182"/>
      <c r="E57" s="182"/>
      <c r="F57" s="182"/>
      <c r="G57" s="182"/>
      <c r="H57" s="182"/>
      <c r="I57" s="182"/>
      <c r="J57" s="182"/>
      <c r="K57" s="182"/>
      <c r="L57" s="182"/>
      <c r="M57" s="183"/>
    </row>
    <row r="58" spans="1:13" ht="12.75">
      <c r="A58" s="188"/>
      <c r="B58" s="181"/>
      <c r="C58" s="182"/>
      <c r="D58" s="182"/>
      <c r="E58" s="182"/>
      <c r="F58" s="182"/>
      <c r="G58" s="182"/>
      <c r="H58" s="182"/>
      <c r="I58" s="182"/>
      <c r="J58" s="182"/>
      <c r="K58" s="182"/>
      <c r="L58" s="182"/>
      <c r="M58" s="183"/>
    </row>
    <row r="59" spans="1:13" ht="13.5" thickBot="1">
      <c r="A59" s="208" t="s">
        <v>34</v>
      </c>
      <c r="B59" s="186">
        <f>SUM(B56:B58)</f>
        <v>0</v>
      </c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7">
        <f>SUM(M56:M58)</f>
        <v>0</v>
      </c>
    </row>
    <row r="60" spans="1:13" ht="13.5" thickTop="1">
      <c r="A60" s="188"/>
      <c r="B60" s="181"/>
      <c r="C60" s="182"/>
      <c r="D60" s="182"/>
      <c r="E60" s="182"/>
      <c r="F60" s="182"/>
      <c r="G60" s="182"/>
      <c r="H60" s="182"/>
      <c r="I60" s="182"/>
      <c r="J60" s="182"/>
      <c r="K60" s="182"/>
      <c r="L60" s="182"/>
      <c r="M60" s="183"/>
    </row>
    <row r="61" spans="1:13" ht="12.75">
      <c r="A61" s="188" t="s">
        <v>35</v>
      </c>
      <c r="B61" s="181"/>
      <c r="C61" s="182"/>
      <c r="D61" s="182"/>
      <c r="E61" s="182"/>
      <c r="F61" s="182"/>
      <c r="G61" s="182"/>
      <c r="H61" s="182"/>
      <c r="I61" s="182"/>
      <c r="J61" s="182"/>
      <c r="K61" s="182"/>
      <c r="L61" s="182"/>
      <c r="M61" s="183"/>
    </row>
    <row r="62" spans="1:13" ht="12.75">
      <c r="A62" s="188" t="s">
        <v>36</v>
      </c>
      <c r="B62" s="181"/>
      <c r="C62" s="182"/>
      <c r="D62" s="182"/>
      <c r="E62" s="182"/>
      <c r="F62" s="182"/>
      <c r="G62" s="182"/>
      <c r="H62" s="182"/>
      <c r="I62" s="182"/>
      <c r="J62" s="182"/>
      <c r="K62" s="182"/>
      <c r="L62" s="182"/>
      <c r="M62" s="183"/>
    </row>
    <row r="63" spans="1:13" ht="12.75">
      <c r="A63" s="188"/>
      <c r="B63" s="181"/>
      <c r="C63" s="182"/>
      <c r="D63" s="182"/>
      <c r="E63" s="182"/>
      <c r="F63" s="182"/>
      <c r="G63" s="182"/>
      <c r="H63" s="182"/>
      <c r="I63" s="182"/>
      <c r="J63" s="182"/>
      <c r="K63" s="182"/>
      <c r="L63" s="182"/>
      <c r="M63" s="183"/>
    </row>
    <row r="64" spans="1:13" ht="13.5" thickBot="1">
      <c r="A64" s="208" t="s">
        <v>37</v>
      </c>
      <c r="B64" s="186">
        <f>SUM(B62:B63)</f>
        <v>0</v>
      </c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7">
        <f>SUM(M62:M63)</f>
        <v>0</v>
      </c>
    </row>
    <row r="65" spans="1:13" ht="13.5" thickTop="1">
      <c r="A65" s="188"/>
      <c r="B65" s="181"/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3"/>
    </row>
    <row r="66" spans="1:13" ht="12.75">
      <c r="A66" s="188" t="s">
        <v>38</v>
      </c>
      <c r="B66" s="181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3"/>
    </row>
    <row r="67" spans="1:13" ht="12.75">
      <c r="A67" s="188" t="s">
        <v>39</v>
      </c>
      <c r="B67" s="181"/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3"/>
    </row>
    <row r="68" spans="1:13" ht="12.75">
      <c r="A68" s="188"/>
      <c r="B68" s="181"/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3"/>
    </row>
    <row r="69" spans="1:13" ht="13.5" thickBot="1">
      <c r="A69" s="208" t="s">
        <v>40</v>
      </c>
      <c r="B69" s="186">
        <f>SUM(B67:B68)</f>
        <v>0</v>
      </c>
      <c r="C69" s="186"/>
      <c r="D69" s="186"/>
      <c r="E69" s="186"/>
      <c r="F69" s="186"/>
      <c r="G69" s="186"/>
      <c r="H69" s="186"/>
      <c r="I69" s="186"/>
      <c r="J69" s="186"/>
      <c r="K69" s="186"/>
      <c r="L69" s="186"/>
      <c r="M69" s="187">
        <f>SUM(M67:M68)</f>
        <v>0</v>
      </c>
    </row>
    <row r="70" spans="1:13" ht="13.5" thickTop="1">
      <c r="A70" s="188"/>
      <c r="B70" s="181"/>
      <c r="C70" s="182"/>
      <c r="D70" s="182"/>
      <c r="E70" s="182"/>
      <c r="F70" s="182"/>
      <c r="G70" s="182"/>
      <c r="H70" s="182"/>
      <c r="I70" s="182"/>
      <c r="J70" s="182"/>
      <c r="K70" s="182"/>
      <c r="L70" s="182"/>
      <c r="M70" s="183"/>
    </row>
    <row r="71" spans="1:13" ht="25.5">
      <c r="A71" s="188" t="s">
        <v>41</v>
      </c>
      <c r="B71" s="181"/>
      <c r="C71" s="182"/>
      <c r="D71" s="182"/>
      <c r="E71" s="182"/>
      <c r="F71" s="182"/>
      <c r="G71" s="182"/>
      <c r="H71" s="182"/>
      <c r="I71" s="182"/>
      <c r="J71" s="182"/>
      <c r="K71" s="182"/>
      <c r="L71" s="182"/>
      <c r="M71" s="183"/>
    </row>
    <row r="72" spans="1:13" ht="12.75">
      <c r="A72" s="188" t="s">
        <v>42</v>
      </c>
      <c r="B72" s="181"/>
      <c r="C72" s="182"/>
      <c r="D72" s="182"/>
      <c r="E72" s="182"/>
      <c r="F72" s="182"/>
      <c r="G72" s="182"/>
      <c r="H72" s="182"/>
      <c r="I72" s="182"/>
      <c r="J72" s="182"/>
      <c r="K72" s="182"/>
      <c r="L72" s="182"/>
      <c r="M72" s="183"/>
    </row>
    <row r="73" spans="1:13" ht="12.75">
      <c r="A73" s="188"/>
      <c r="B73" s="181"/>
      <c r="C73" s="182"/>
      <c r="D73" s="182"/>
      <c r="E73" s="182"/>
      <c r="F73" s="182"/>
      <c r="G73" s="182"/>
      <c r="H73" s="182"/>
      <c r="I73" s="182"/>
      <c r="J73" s="182"/>
      <c r="K73" s="182"/>
      <c r="L73" s="182"/>
      <c r="M73" s="183"/>
    </row>
    <row r="74" spans="1:13" ht="26.25" thickBot="1">
      <c r="A74" s="208" t="s">
        <v>58</v>
      </c>
      <c r="B74" s="186">
        <f>SUM(B72:B73)</f>
        <v>0</v>
      </c>
      <c r="C74" s="186"/>
      <c r="D74" s="186"/>
      <c r="E74" s="186"/>
      <c r="F74" s="186"/>
      <c r="G74" s="186"/>
      <c r="H74" s="186"/>
      <c r="I74" s="186"/>
      <c r="J74" s="186"/>
      <c r="K74" s="186"/>
      <c r="L74" s="186"/>
      <c r="M74" s="187">
        <f>SUM(M72:M73)</f>
        <v>0</v>
      </c>
    </row>
    <row r="75" spans="1:13" ht="13.5" thickTop="1">
      <c r="A75" s="188"/>
      <c r="B75" s="181"/>
      <c r="C75" s="182"/>
      <c r="D75" s="182"/>
      <c r="E75" s="182"/>
      <c r="F75" s="182"/>
      <c r="G75" s="182"/>
      <c r="H75" s="182"/>
      <c r="I75" s="182"/>
      <c r="J75" s="182"/>
      <c r="K75" s="182"/>
      <c r="L75" s="182"/>
      <c r="M75" s="183"/>
    </row>
    <row r="76" spans="1:13" ht="12.75">
      <c r="A76" s="188" t="s">
        <v>43</v>
      </c>
      <c r="B76" s="181"/>
      <c r="C76" s="182"/>
      <c r="D76" s="182"/>
      <c r="E76" s="182"/>
      <c r="F76" s="182"/>
      <c r="G76" s="182"/>
      <c r="H76" s="182"/>
      <c r="I76" s="182"/>
      <c r="J76" s="182"/>
      <c r="K76" s="182"/>
      <c r="L76" s="182"/>
      <c r="M76" s="183"/>
    </row>
    <row r="77" spans="1:13" ht="12.75">
      <c r="A77" s="188" t="s">
        <v>44</v>
      </c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3"/>
    </row>
    <row r="78" spans="1:13" ht="12.75">
      <c r="A78" s="188"/>
      <c r="B78" s="181"/>
      <c r="C78" s="182"/>
      <c r="D78" s="182"/>
      <c r="E78" s="182"/>
      <c r="F78" s="182"/>
      <c r="G78" s="182"/>
      <c r="H78" s="182"/>
      <c r="I78" s="182"/>
      <c r="J78" s="182"/>
      <c r="K78" s="182"/>
      <c r="L78" s="182"/>
      <c r="M78" s="183"/>
    </row>
    <row r="79" spans="1:13" ht="13.5" thickBot="1">
      <c r="A79" s="208" t="s">
        <v>45</v>
      </c>
      <c r="B79" s="186">
        <f>SUM(B77:B78)</f>
        <v>0</v>
      </c>
      <c r="C79" s="186"/>
      <c r="D79" s="186"/>
      <c r="E79" s="186"/>
      <c r="F79" s="186"/>
      <c r="G79" s="186"/>
      <c r="H79" s="186"/>
      <c r="I79" s="186"/>
      <c r="J79" s="186"/>
      <c r="K79" s="186"/>
      <c r="L79" s="186"/>
      <c r="M79" s="187">
        <f>SUM(M77:M78)</f>
        <v>0</v>
      </c>
    </row>
    <row r="80" spans="1:13" ht="13.5" thickTop="1">
      <c r="A80" s="188"/>
      <c r="B80" s="181"/>
      <c r="C80" s="182"/>
      <c r="D80" s="182"/>
      <c r="E80" s="182"/>
      <c r="F80" s="182"/>
      <c r="G80" s="182"/>
      <c r="H80" s="182"/>
      <c r="I80" s="182"/>
      <c r="J80" s="182"/>
      <c r="K80" s="182"/>
      <c r="L80" s="182"/>
      <c r="M80" s="183"/>
    </row>
    <row r="81" spans="1:13" ht="12.75">
      <c r="A81" s="188" t="s">
        <v>46</v>
      </c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3"/>
    </row>
    <row r="82" spans="1:13" ht="12.75">
      <c r="A82" s="188" t="s">
        <v>47</v>
      </c>
      <c r="B82" s="181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3"/>
    </row>
    <row r="83" spans="1:13" ht="12.75">
      <c r="A83" s="188"/>
      <c r="B83" s="181"/>
      <c r="C83" s="182"/>
      <c r="D83" s="182"/>
      <c r="E83" s="182"/>
      <c r="F83" s="182"/>
      <c r="G83" s="182"/>
      <c r="H83" s="182"/>
      <c r="I83" s="182"/>
      <c r="J83" s="182"/>
      <c r="K83" s="182"/>
      <c r="L83" s="182"/>
      <c r="M83" s="183"/>
    </row>
    <row r="84" spans="1:13" ht="13.5" thickBot="1">
      <c r="A84" s="208" t="s">
        <v>48</v>
      </c>
      <c r="B84" s="186">
        <f>SUM(B81:B83)</f>
        <v>0</v>
      </c>
      <c r="C84" s="186"/>
      <c r="D84" s="186"/>
      <c r="E84" s="186"/>
      <c r="F84" s="186"/>
      <c r="G84" s="186"/>
      <c r="H84" s="186"/>
      <c r="I84" s="186"/>
      <c r="J84" s="186"/>
      <c r="K84" s="186"/>
      <c r="L84" s="186"/>
      <c r="M84" s="187">
        <f>SUM(M81:M83)</f>
        <v>0</v>
      </c>
    </row>
    <row r="85" spans="1:13" ht="14.25" thickBot="1" thickTop="1">
      <c r="A85" s="188"/>
      <c r="B85" s="181"/>
      <c r="C85" s="182"/>
      <c r="D85" s="182"/>
      <c r="E85" s="182"/>
      <c r="F85" s="182"/>
      <c r="G85" s="182"/>
      <c r="H85" s="182"/>
      <c r="I85" s="182"/>
      <c r="J85" s="182"/>
      <c r="K85" s="182"/>
      <c r="L85" s="182"/>
      <c r="M85" s="183"/>
    </row>
    <row r="86" spans="1:13" ht="24" customHeight="1" thickBot="1">
      <c r="A86" s="209" t="s">
        <v>49</v>
      </c>
      <c r="B86" s="189">
        <f>SUM(+B79+B74+B69+B64+B59)</f>
        <v>0</v>
      </c>
      <c r="C86" s="190"/>
      <c r="D86" s="190"/>
      <c r="E86" s="190"/>
      <c r="F86" s="190"/>
      <c r="G86" s="190"/>
      <c r="H86" s="190"/>
      <c r="I86" s="190">
        <f>I59+I64+I69+I74+I79+I84</f>
        <v>0</v>
      </c>
      <c r="J86" s="190">
        <f>J59+J64+J69+J74+J79+J84</f>
        <v>0</v>
      </c>
      <c r="K86" s="190">
        <f>K59+K64+K69+K74+K79+K84</f>
        <v>0</v>
      </c>
      <c r="L86" s="190">
        <f>L59+L64+L69+L74+L79+L84</f>
        <v>0</v>
      </c>
      <c r="M86" s="191">
        <f>SUM(+M79+M74+M69+M64+M59)</f>
        <v>0</v>
      </c>
    </row>
    <row r="87" spans="1:13" ht="12.75">
      <c r="A87" s="210"/>
      <c r="B87" s="192"/>
      <c r="C87" s="193"/>
      <c r="D87" s="193"/>
      <c r="E87" s="193"/>
      <c r="F87" s="193"/>
      <c r="G87" s="193"/>
      <c r="H87" s="193"/>
      <c r="I87" s="193"/>
      <c r="J87" s="193"/>
      <c r="K87" s="193"/>
      <c r="L87" s="193"/>
      <c r="M87" s="194"/>
    </row>
    <row r="88" spans="1:13" ht="21.75" customHeight="1">
      <c r="A88" s="212" t="s">
        <v>50</v>
      </c>
      <c r="B88" s="178"/>
      <c r="C88" s="195"/>
      <c r="D88" s="195"/>
      <c r="E88" s="195"/>
      <c r="F88" s="195"/>
      <c r="G88" s="195"/>
      <c r="H88" s="195"/>
      <c r="I88" s="195"/>
      <c r="J88" s="195"/>
      <c r="K88" s="195"/>
      <c r="L88" s="195"/>
      <c r="M88" s="180"/>
    </row>
    <row r="89" spans="1:13" ht="12.75">
      <c r="A89" s="188"/>
      <c r="B89" s="181"/>
      <c r="C89" s="182"/>
      <c r="D89" s="182"/>
      <c r="E89" s="182"/>
      <c r="F89" s="182"/>
      <c r="G89" s="182"/>
      <c r="H89" s="182"/>
      <c r="I89" s="182"/>
      <c r="J89" s="182"/>
      <c r="K89" s="182"/>
      <c r="L89" s="182"/>
      <c r="M89" s="183"/>
    </row>
    <row r="90" spans="1:13" ht="12.75">
      <c r="A90" s="188" t="s">
        <v>51</v>
      </c>
      <c r="B90" s="181"/>
      <c r="C90" s="182"/>
      <c r="D90" s="182"/>
      <c r="E90" s="182"/>
      <c r="F90" s="182"/>
      <c r="G90" s="182"/>
      <c r="H90" s="182"/>
      <c r="I90" s="182"/>
      <c r="J90" s="182"/>
      <c r="K90" s="182"/>
      <c r="L90" s="182"/>
      <c r="M90" s="183"/>
    </row>
    <row r="91" spans="1:13" ht="12.75">
      <c r="A91" s="188" t="s">
        <v>393</v>
      </c>
      <c r="B91" s="181">
        <v>12000</v>
      </c>
      <c r="C91" s="181">
        <f>USCITE!C174</f>
        <v>9802.440000000002</v>
      </c>
      <c r="D91" s="181">
        <f>'dettaglio partite di giro'!D51</f>
        <v>8930.170000000002</v>
      </c>
      <c r="E91" s="181">
        <f>C91-D91</f>
        <v>872.2700000000004</v>
      </c>
      <c r="F91" s="181"/>
      <c r="G91" s="181"/>
      <c r="H91" s="181">
        <v>1534.36</v>
      </c>
      <c r="I91" s="181">
        <v>0</v>
      </c>
      <c r="J91" s="181">
        <v>1534.36</v>
      </c>
      <c r="K91" s="181">
        <f>H91+I91-J91</f>
        <v>0</v>
      </c>
      <c r="L91" s="181">
        <f>E91+K91</f>
        <v>872.2700000000004</v>
      </c>
      <c r="M91" s="196">
        <f>D91+J91</f>
        <v>10464.530000000002</v>
      </c>
    </row>
    <row r="92" spans="1:13" ht="12.75">
      <c r="A92" s="188" t="s">
        <v>52</v>
      </c>
      <c r="B92" s="181"/>
      <c r="C92" s="182"/>
      <c r="D92" s="182"/>
      <c r="E92" s="181">
        <f>C92-D92</f>
        <v>0</v>
      </c>
      <c r="F92" s="182"/>
      <c r="G92" s="182"/>
      <c r="H92" s="182"/>
      <c r="I92" s="182"/>
      <c r="J92" s="182"/>
      <c r="K92" s="182"/>
      <c r="L92" s="181">
        <f>E92+K92</f>
        <v>0</v>
      </c>
      <c r="M92" s="196">
        <f>D92+J92</f>
        <v>0</v>
      </c>
    </row>
    <row r="93" spans="1:13" ht="12.75">
      <c r="A93" s="188" t="s">
        <v>53</v>
      </c>
      <c r="B93" s="181"/>
      <c r="C93" s="182"/>
      <c r="D93" s="182"/>
      <c r="E93" s="182"/>
      <c r="F93" s="182"/>
      <c r="G93" s="182"/>
      <c r="H93" s="182"/>
      <c r="I93" s="182"/>
      <c r="J93" s="182"/>
      <c r="K93" s="182"/>
      <c r="L93" s="182"/>
      <c r="M93" s="183"/>
    </row>
    <row r="94" spans="1:13" ht="12.75">
      <c r="A94" s="188"/>
      <c r="B94" s="181"/>
      <c r="C94" s="182"/>
      <c r="D94" s="182"/>
      <c r="E94" s="182"/>
      <c r="F94" s="182"/>
      <c r="G94" s="182"/>
      <c r="H94" s="182"/>
      <c r="I94" s="182"/>
      <c r="J94" s="182"/>
      <c r="K94" s="182"/>
      <c r="L94" s="182"/>
      <c r="M94" s="183"/>
    </row>
    <row r="95" spans="1:13" ht="13.5" thickBot="1">
      <c r="A95" s="208" t="s">
        <v>54</v>
      </c>
      <c r="B95" s="197">
        <f>SUM(B91:B93)</f>
        <v>12000</v>
      </c>
      <c r="C95" s="197">
        <f>SUM(C91:C94)</f>
        <v>9802.440000000002</v>
      </c>
      <c r="D95" s="197">
        <f>SUM(D89:D94)</f>
        <v>8930.170000000002</v>
      </c>
      <c r="E95" s="197">
        <f>SUM(E89:E94)</f>
        <v>872.2700000000004</v>
      </c>
      <c r="F95" s="197">
        <f>SUM(F89:F93)</f>
        <v>0</v>
      </c>
      <c r="G95" s="197"/>
      <c r="H95" s="197">
        <f>SUM(H91:H94)</f>
        <v>1534.36</v>
      </c>
      <c r="I95" s="197">
        <f>SUM(I91:I94)</f>
        <v>0</v>
      </c>
      <c r="J95" s="197">
        <f>SUM(J88:J94)</f>
        <v>1534.36</v>
      </c>
      <c r="K95" s="197">
        <f>SUM(K91:K94)</f>
        <v>0</v>
      </c>
      <c r="L95" s="197">
        <f>SUM(L91:L94)</f>
        <v>872.2700000000004</v>
      </c>
      <c r="M95" s="198">
        <f>SUM(M91:M93)</f>
        <v>10464.530000000002</v>
      </c>
    </row>
    <row r="96" spans="1:13" ht="27" customHeight="1" thickBot="1">
      <c r="A96" s="213" t="s">
        <v>55</v>
      </c>
      <c r="B96" s="199">
        <f>SUM(B95+B86+B52)</f>
        <v>205590</v>
      </c>
      <c r="C96" s="199">
        <f>SUM(C95+C86+C52)</f>
        <v>200955.71000000002</v>
      </c>
      <c r="D96" s="199">
        <f>SUM(D95+D86+D52)</f>
        <v>163319.44000000003</v>
      </c>
      <c r="E96" s="199">
        <f>SUM(E95+E86+E52)</f>
        <v>37636.270000000004</v>
      </c>
      <c r="F96" s="199">
        <f aca="true" t="shared" si="6" ref="F96:K96">SUM(F95+F86+F52)</f>
        <v>-2436.7299999999946</v>
      </c>
      <c r="G96" s="199">
        <f t="shared" si="6"/>
        <v>0</v>
      </c>
      <c r="H96" s="199">
        <f t="shared" si="6"/>
        <v>16219.36</v>
      </c>
      <c r="I96" s="199">
        <f t="shared" si="6"/>
        <v>0</v>
      </c>
      <c r="J96" s="199">
        <f t="shared" si="6"/>
        <v>13560.16</v>
      </c>
      <c r="K96" s="199">
        <f t="shared" si="6"/>
        <v>2659.2000000000007</v>
      </c>
      <c r="L96" s="199">
        <f>L95+L86+L52</f>
        <v>40295.47</v>
      </c>
      <c r="M96" s="199">
        <f>SUM(M95+M86+M52)</f>
        <v>176879.6</v>
      </c>
    </row>
    <row r="97" spans="1:13" ht="12.75">
      <c r="A97" s="188"/>
      <c r="B97" s="181"/>
      <c r="C97" s="182"/>
      <c r="D97" s="182"/>
      <c r="E97" s="182"/>
      <c r="F97" s="182"/>
      <c r="G97" s="182"/>
      <c r="H97" s="182"/>
      <c r="I97" s="182"/>
      <c r="J97" s="182"/>
      <c r="K97" s="182"/>
      <c r="L97" s="182"/>
      <c r="M97" s="183"/>
    </row>
    <row r="98" spans="1:13" ht="12.75">
      <c r="A98" s="188" t="s">
        <v>56</v>
      </c>
      <c r="B98" s="181"/>
      <c r="C98" s="182"/>
      <c r="D98" s="182"/>
      <c r="E98" s="182"/>
      <c r="F98" s="182"/>
      <c r="G98" s="182"/>
      <c r="H98" s="182"/>
      <c r="I98" s="182"/>
      <c r="J98" s="182"/>
      <c r="K98" s="182"/>
      <c r="L98" s="182"/>
      <c r="M98" s="200" t="s">
        <v>61</v>
      </c>
    </row>
    <row r="99" spans="1:13" ht="12.75">
      <c r="A99" s="188" t="s">
        <v>57</v>
      </c>
      <c r="B99" s="201" t="s">
        <v>61</v>
      </c>
      <c r="C99" s="202"/>
      <c r="D99" s="202"/>
      <c r="E99" s="202"/>
      <c r="F99" s="202"/>
      <c r="G99" s="202"/>
      <c r="H99" s="202"/>
      <c r="I99" s="202"/>
      <c r="J99" s="202"/>
      <c r="K99" s="202"/>
      <c r="L99" s="202"/>
      <c r="M99" s="183"/>
    </row>
    <row r="100" spans="1:13" ht="13.5" thickBot="1">
      <c r="A100" s="188"/>
      <c r="B100" s="181"/>
      <c r="C100" s="182"/>
      <c r="D100" s="182"/>
      <c r="E100" s="182"/>
      <c r="F100" s="182"/>
      <c r="G100" s="182"/>
      <c r="H100" s="182"/>
      <c r="I100" s="182"/>
      <c r="J100" s="182"/>
      <c r="K100" s="182"/>
      <c r="L100" s="182"/>
      <c r="M100" s="183"/>
    </row>
    <row r="101" spans="1:13" ht="30.75" customHeight="1" thickBot="1">
      <c r="A101" s="214" t="s">
        <v>59</v>
      </c>
      <c r="B101" s="203">
        <f>B96-B98</f>
        <v>205590</v>
      </c>
      <c r="C101" s="204">
        <f>C96-C98</f>
        <v>200955.71000000002</v>
      </c>
      <c r="D101" s="204">
        <f aca="true" t="shared" si="7" ref="D101:L101">D96-D98</f>
        <v>163319.44000000003</v>
      </c>
      <c r="E101" s="204">
        <f t="shared" si="7"/>
        <v>37636.270000000004</v>
      </c>
      <c r="F101" s="204">
        <f t="shared" si="7"/>
        <v>-2436.7299999999946</v>
      </c>
      <c r="G101" s="204">
        <f t="shared" si="7"/>
        <v>0</v>
      </c>
      <c r="H101" s="204">
        <f t="shared" si="7"/>
        <v>16219.36</v>
      </c>
      <c r="I101" s="204">
        <f t="shared" si="7"/>
        <v>0</v>
      </c>
      <c r="J101" s="204">
        <f t="shared" si="7"/>
        <v>13560.16</v>
      </c>
      <c r="K101" s="204">
        <f t="shared" si="7"/>
        <v>2659.2000000000007</v>
      </c>
      <c r="L101" s="204">
        <f t="shared" si="7"/>
        <v>40295.47</v>
      </c>
      <c r="M101" s="205">
        <f>M96-M99</f>
        <v>176879.6</v>
      </c>
    </row>
    <row r="102" ht="12.75"/>
    <row r="103" ht="12.75" hidden="1"/>
    <row r="104" spans="2:5" ht="12.75" hidden="1">
      <c r="B104" s="172" t="s">
        <v>390</v>
      </c>
      <c r="C104" s="57">
        <f>236.89+247.65+242.16+245.75+257.54+246.28+242.61+242.58+246.09+246.09+236.07+229.91+875.73+555.38-81.53-73.64-81.53-78.9-81.53-78.9-81.53-81.53-78.9-26.37-55.16-78.9-81.58</f>
        <v>3390.73</v>
      </c>
      <c r="D104" s="123">
        <f>236.89+247.65+242.16+245.75+257.54+246.28+242.61+242.58+246.09+246.09+229.91+236.07+875.73-81.53-73.64-81.53-78.9-81.53-78.9-81.53-81.53-78.9-26.37-55.16-78.9</f>
        <v>2916.9299999999994</v>
      </c>
      <c r="E104" s="147">
        <f>C104-D104</f>
        <v>473.80000000000064</v>
      </c>
    </row>
    <row r="105" spans="2:5" ht="12.75" hidden="1">
      <c r="B105" s="172" t="s">
        <v>391</v>
      </c>
      <c r="C105" s="57">
        <f>8452.77-438.73-438.73-438.73-438.73-453.77-438.73-438.73-438.73-438.73-432.21-948.65-839.35</f>
        <v>2268.9500000000035</v>
      </c>
      <c r="D105" s="57">
        <f>(8452.77-438.73-438.73-438.73-438.73-453.77-438.73-438.73-438.73-438.73-432.21-948.65-839.35)-307.65</f>
        <v>1961.3000000000034</v>
      </c>
      <c r="E105" s="57">
        <f>C105-D105</f>
        <v>307.6500000000001</v>
      </c>
    </row>
    <row r="106" spans="2:5" ht="12.75" hidden="1">
      <c r="B106" s="172" t="s">
        <v>392</v>
      </c>
      <c r="C106" s="57">
        <f>13.46*13</f>
        <v>174.98000000000002</v>
      </c>
      <c r="D106" s="57">
        <f>13.46*11</f>
        <v>148.06</v>
      </c>
      <c r="E106" s="57">
        <f>C106-D106</f>
        <v>26.920000000000016</v>
      </c>
    </row>
    <row r="107" spans="2:5" ht="12.75" hidden="1">
      <c r="B107" s="172" t="s">
        <v>394</v>
      </c>
      <c r="C107" s="57">
        <v>3369.85</v>
      </c>
      <c r="D107" s="57">
        <v>3369.85</v>
      </c>
      <c r="E107" s="57">
        <f>C107-D107</f>
        <v>0</v>
      </c>
    </row>
    <row r="108" spans="2:5" ht="12.75" hidden="1">
      <c r="B108" s="172" t="s">
        <v>396</v>
      </c>
      <c r="C108" s="153">
        <v>321</v>
      </c>
      <c r="D108" s="57">
        <v>321</v>
      </c>
      <c r="E108" s="57">
        <f aca="true" t="shared" si="8" ref="E108:E124">C108-D108</f>
        <v>0</v>
      </c>
    </row>
    <row r="109" spans="2:5" ht="12.75" hidden="1">
      <c r="B109" s="172" t="s">
        <v>397</v>
      </c>
      <c r="C109" s="57">
        <v>203.75</v>
      </c>
      <c r="D109" s="57">
        <v>203.75</v>
      </c>
      <c r="E109" s="57">
        <f t="shared" si="8"/>
        <v>0</v>
      </c>
    </row>
    <row r="110" spans="2:5" ht="12.75" hidden="1">
      <c r="B110" s="172" t="s">
        <v>398</v>
      </c>
      <c r="C110" s="153">
        <v>18.75</v>
      </c>
      <c r="D110" s="57">
        <v>18.75</v>
      </c>
      <c r="E110" s="57">
        <f t="shared" si="8"/>
        <v>0</v>
      </c>
    </row>
    <row r="111" spans="2:5" ht="12.75" hidden="1">
      <c r="B111" s="172" t="s">
        <v>399</v>
      </c>
      <c r="C111" s="153">
        <v>18.75</v>
      </c>
      <c r="D111" s="57">
        <v>18.75</v>
      </c>
      <c r="E111" s="57">
        <f t="shared" si="8"/>
        <v>0</v>
      </c>
    </row>
    <row r="112" spans="2:5" ht="12.75" hidden="1">
      <c r="B112" s="172" t="s">
        <v>400</v>
      </c>
      <c r="C112" s="153">
        <v>12.5</v>
      </c>
      <c r="D112" s="57">
        <v>12.5</v>
      </c>
      <c r="E112" s="57">
        <f t="shared" si="8"/>
        <v>0</v>
      </c>
    </row>
    <row r="113" spans="2:5" ht="12.75" hidden="1">
      <c r="B113" s="172" t="s">
        <v>401</v>
      </c>
      <c r="C113" s="153">
        <v>25</v>
      </c>
      <c r="D113" s="57">
        <v>25</v>
      </c>
      <c r="E113" s="57">
        <f t="shared" si="8"/>
        <v>0</v>
      </c>
    </row>
    <row r="114" spans="2:5" ht="12.75" hidden="1">
      <c r="B114" s="172" t="s">
        <v>402</v>
      </c>
      <c r="C114" s="153">
        <v>25</v>
      </c>
      <c r="D114" s="57">
        <v>25</v>
      </c>
      <c r="E114" s="57">
        <f t="shared" si="8"/>
        <v>0</v>
      </c>
    </row>
    <row r="115" spans="2:5" ht="12.75" hidden="1">
      <c r="B115" s="172" t="s">
        <v>403</v>
      </c>
      <c r="C115" s="57">
        <v>12</v>
      </c>
      <c r="D115" s="57">
        <v>12</v>
      </c>
      <c r="E115" s="57">
        <f t="shared" si="8"/>
        <v>0</v>
      </c>
    </row>
    <row r="116" spans="2:5" ht="12.75" hidden="1">
      <c r="B116" s="172" t="s">
        <v>403</v>
      </c>
      <c r="C116" s="57">
        <v>24</v>
      </c>
      <c r="D116" s="57">
        <v>24</v>
      </c>
      <c r="E116" s="57">
        <f t="shared" si="8"/>
        <v>0</v>
      </c>
    </row>
    <row r="117" spans="2:5" ht="12.75" hidden="1">
      <c r="B117" s="172" t="s">
        <v>404</v>
      </c>
      <c r="C117" s="153">
        <v>25</v>
      </c>
      <c r="D117" s="57">
        <v>25</v>
      </c>
      <c r="E117" s="57">
        <f t="shared" si="8"/>
        <v>0</v>
      </c>
    </row>
    <row r="118" spans="2:5" ht="12.75" hidden="1">
      <c r="B118" s="172" t="s">
        <v>405</v>
      </c>
      <c r="C118" s="153">
        <v>10</v>
      </c>
      <c r="D118" s="57">
        <v>10</v>
      </c>
      <c r="E118" s="57">
        <f t="shared" si="8"/>
        <v>0</v>
      </c>
    </row>
    <row r="119" spans="2:5" ht="12.75" hidden="1">
      <c r="B119" s="172" t="s">
        <v>406</v>
      </c>
      <c r="C119" s="153">
        <v>94.97</v>
      </c>
      <c r="D119" s="57">
        <v>94.97</v>
      </c>
      <c r="E119" s="57">
        <f t="shared" si="8"/>
        <v>0</v>
      </c>
    </row>
    <row r="120" spans="2:5" ht="12.75" hidden="1">
      <c r="B120" s="172" t="s">
        <v>407</v>
      </c>
      <c r="C120" s="153">
        <v>28</v>
      </c>
      <c r="D120" s="57">
        <v>0</v>
      </c>
      <c r="E120" s="57">
        <f t="shared" si="8"/>
        <v>28</v>
      </c>
    </row>
    <row r="121" spans="2:5" ht="12.75" hidden="1">
      <c r="B121" s="172" t="s">
        <v>408</v>
      </c>
      <c r="C121" s="153">
        <v>11.2</v>
      </c>
      <c r="D121" s="57">
        <v>0</v>
      </c>
      <c r="E121" s="57">
        <f t="shared" si="8"/>
        <v>11.2</v>
      </c>
    </row>
    <row r="122" spans="2:5" ht="12.75" hidden="1">
      <c r="B122" s="172" t="s">
        <v>409</v>
      </c>
      <c r="C122" s="153">
        <v>55.6</v>
      </c>
      <c r="D122" s="57">
        <v>0</v>
      </c>
      <c r="E122" s="57">
        <f t="shared" si="8"/>
        <v>55.6</v>
      </c>
    </row>
    <row r="123" spans="2:5" ht="12.75" hidden="1">
      <c r="B123" s="172" t="s">
        <v>410</v>
      </c>
      <c r="C123" s="153">
        <v>22.24</v>
      </c>
      <c r="D123" s="57">
        <v>0</v>
      </c>
      <c r="E123" s="57">
        <f t="shared" si="8"/>
        <v>22.24</v>
      </c>
    </row>
    <row r="124" spans="2:5" ht="12.75" hidden="1">
      <c r="B124" s="172" t="s">
        <v>411</v>
      </c>
      <c r="C124" s="153">
        <v>608.95</v>
      </c>
      <c r="D124" s="57">
        <v>0</v>
      </c>
      <c r="E124" s="57">
        <f t="shared" si="8"/>
        <v>608.95</v>
      </c>
    </row>
    <row r="125" ht="12.75" hidden="1"/>
    <row r="126" ht="12.75" hidden="1">
      <c r="C126" s="123"/>
    </row>
    <row r="127" spans="3:5" ht="12.75" hidden="1">
      <c r="C127" s="123">
        <f>SUM(C104:C126)</f>
        <v>10721.220000000005</v>
      </c>
      <c r="D127" s="147">
        <f>SUM(D104:D126)</f>
        <v>9186.860000000002</v>
      </c>
      <c r="E127" s="147">
        <f>SUM(E104:E126)</f>
        <v>1534.360000000001</v>
      </c>
    </row>
    <row r="128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</sheetData>
  <sheetProtection/>
  <mergeCells count="2">
    <mergeCell ref="C4:E4"/>
    <mergeCell ref="H4:L4"/>
  </mergeCells>
  <printOptions/>
  <pageMargins left="0" right="0" top="0.7480314960629921" bottom="0.35433070866141736" header="0.31496062992125984" footer="0"/>
  <pageSetup horizontalDpi="600" verticalDpi="600" orientation="landscape" paperSize="8" r:id="rId3"/>
  <ignoredErrors>
    <ignoredError sqref="L12" formula="1"/>
  </ignoredError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2:E51"/>
  <sheetViews>
    <sheetView zoomScalePageLayoutView="0" workbookViewId="0" topLeftCell="A1">
      <selection activeCell="D28" sqref="D28"/>
    </sheetView>
  </sheetViews>
  <sheetFormatPr defaultColWidth="9.140625" defaultRowHeight="15"/>
  <cols>
    <col min="2" max="2" width="22.140625" style="0" customWidth="1"/>
    <col min="3" max="3" width="13.00390625" style="0" bestFit="1" customWidth="1"/>
    <col min="4" max="4" width="15.140625" style="0" customWidth="1"/>
    <col min="5" max="5" width="15.7109375" style="0" customWidth="1"/>
  </cols>
  <sheetData>
    <row r="2" spans="2:5" ht="15">
      <c r="B2" s="164" t="s">
        <v>62</v>
      </c>
      <c r="C2" s="164" t="s">
        <v>447</v>
      </c>
      <c r="D2" s="164" t="s">
        <v>451</v>
      </c>
      <c r="E2" s="164" t="s">
        <v>446</v>
      </c>
    </row>
    <row r="3" spans="2:5" ht="15">
      <c r="B3" s="166" t="s">
        <v>390</v>
      </c>
      <c r="C3" s="241">
        <f>273.73+247.24+241.93+245.26+241.5+245+850.91+254.49-254.49+256.25-251.51+251.76+269.14+491.86</f>
        <v>3363.0700000000006</v>
      </c>
      <c r="D3" s="94">
        <f>C3-491.86</f>
        <v>2871.2100000000005</v>
      </c>
      <c r="E3" s="241">
        <f aca="true" t="shared" si="0" ref="E3:E24">C3-D3</f>
        <v>491.8600000000001</v>
      </c>
    </row>
    <row r="4" spans="2:5" ht="15">
      <c r="B4" s="240" t="s">
        <v>460</v>
      </c>
      <c r="C4" s="241">
        <f>-81.53-73.64-81.53-80-80-80-80-80-80-80-80-83.3</f>
        <v>-960</v>
      </c>
      <c r="D4" s="94">
        <f>C4+83.3</f>
        <v>-876.7</v>
      </c>
      <c r="E4" s="241">
        <f t="shared" si="0"/>
        <v>-83.29999999999995</v>
      </c>
    </row>
    <row r="5" spans="2:5" ht="15">
      <c r="B5" s="166" t="s">
        <v>391</v>
      </c>
      <c r="C5" s="241">
        <f>163.95+158.44+158.44+148.44+158.44+158.44+342.24+158.44+158.44+158.44+163.95+302.17+0.02</f>
        <v>2229.8500000000004</v>
      </c>
      <c r="D5" s="241">
        <f>C5-302.17-0.02</f>
        <v>1927.6600000000003</v>
      </c>
      <c r="E5" s="241">
        <f t="shared" si="0"/>
        <v>302.19000000000005</v>
      </c>
    </row>
    <row r="6" spans="2:5" ht="15">
      <c r="B6" s="166" t="s">
        <v>392</v>
      </c>
      <c r="C6" s="241">
        <v>161.52</v>
      </c>
      <c r="D6" s="241">
        <v>0</v>
      </c>
      <c r="E6" s="241">
        <f t="shared" si="0"/>
        <v>161.52</v>
      </c>
    </row>
    <row r="7" spans="2:5" ht="15">
      <c r="B7" s="240" t="s">
        <v>461</v>
      </c>
      <c r="C7" s="241">
        <v>5000</v>
      </c>
      <c r="D7" s="241">
        <v>5000</v>
      </c>
      <c r="E7" s="241">
        <f t="shared" si="0"/>
        <v>0</v>
      </c>
    </row>
    <row r="8" spans="2:5" ht="15">
      <c r="B8" s="240" t="s">
        <v>403</v>
      </c>
      <c r="C8" s="242">
        <v>8</v>
      </c>
      <c r="D8" s="241">
        <v>8</v>
      </c>
      <c r="E8" s="241">
        <f t="shared" si="0"/>
        <v>0</v>
      </c>
    </row>
    <row r="9" spans="2:5" ht="15">
      <c r="B9" s="166"/>
      <c r="C9" s="242"/>
      <c r="D9" s="241"/>
      <c r="E9" s="241">
        <f t="shared" si="0"/>
        <v>0</v>
      </c>
    </row>
    <row r="10" spans="2:5" ht="15">
      <c r="B10" s="166"/>
      <c r="C10" s="242"/>
      <c r="D10" s="241"/>
      <c r="E10" s="241">
        <f t="shared" si="0"/>
        <v>0</v>
      </c>
    </row>
    <row r="11" spans="2:5" ht="15">
      <c r="B11" s="166"/>
      <c r="C11" s="242"/>
      <c r="D11" s="241"/>
      <c r="E11" s="241">
        <f t="shared" si="0"/>
        <v>0</v>
      </c>
    </row>
    <row r="12" spans="2:5" ht="15">
      <c r="B12" s="166"/>
      <c r="C12" s="242"/>
      <c r="D12" s="241"/>
      <c r="E12" s="241">
        <f t="shared" si="0"/>
        <v>0</v>
      </c>
    </row>
    <row r="13" spans="2:5" ht="15">
      <c r="B13" s="166"/>
      <c r="C13" s="242"/>
      <c r="D13" s="241"/>
      <c r="E13" s="241">
        <f t="shared" si="0"/>
        <v>0</v>
      </c>
    </row>
    <row r="14" spans="2:5" ht="15">
      <c r="B14" s="166"/>
      <c r="C14" s="242"/>
      <c r="D14" s="241"/>
      <c r="E14" s="241">
        <f t="shared" si="0"/>
        <v>0</v>
      </c>
    </row>
    <row r="15" spans="2:5" ht="15">
      <c r="B15" s="166"/>
      <c r="C15" s="242"/>
      <c r="D15" s="241"/>
      <c r="E15" s="241">
        <f t="shared" si="0"/>
        <v>0</v>
      </c>
    </row>
    <row r="16" spans="2:5" ht="15">
      <c r="B16" s="166"/>
      <c r="C16" s="242"/>
      <c r="D16" s="241"/>
      <c r="E16" s="241">
        <f t="shared" si="0"/>
        <v>0</v>
      </c>
    </row>
    <row r="17" spans="2:5" ht="15">
      <c r="B17" s="166"/>
      <c r="C17" s="242"/>
      <c r="D17" s="241"/>
      <c r="E17" s="241">
        <f t="shared" si="0"/>
        <v>0</v>
      </c>
    </row>
    <row r="18" spans="2:5" ht="15">
      <c r="B18" s="166"/>
      <c r="C18" s="242"/>
      <c r="D18" s="241"/>
      <c r="E18" s="241">
        <f t="shared" si="0"/>
        <v>0</v>
      </c>
    </row>
    <row r="19" spans="2:5" ht="15">
      <c r="B19" s="166"/>
      <c r="C19" s="242"/>
      <c r="D19" s="241"/>
      <c r="E19" s="241">
        <f t="shared" si="0"/>
        <v>0</v>
      </c>
    </row>
    <row r="20" spans="2:5" ht="15">
      <c r="B20" s="166"/>
      <c r="C20" s="242"/>
      <c r="D20" s="241"/>
      <c r="E20" s="241">
        <f t="shared" si="0"/>
        <v>0</v>
      </c>
    </row>
    <row r="21" spans="2:5" ht="15">
      <c r="B21" s="166"/>
      <c r="C21" s="242"/>
      <c r="D21" s="241"/>
      <c r="E21" s="241">
        <f t="shared" si="0"/>
        <v>0</v>
      </c>
    </row>
    <row r="22" spans="2:5" ht="15">
      <c r="B22" s="166"/>
      <c r="C22" s="242"/>
      <c r="D22" s="241"/>
      <c r="E22" s="241">
        <f t="shared" si="0"/>
        <v>0</v>
      </c>
    </row>
    <row r="23" spans="2:5" ht="15">
      <c r="B23" s="166"/>
      <c r="C23" s="242"/>
      <c r="D23" s="241"/>
      <c r="E23" s="241">
        <f t="shared" si="0"/>
        <v>0</v>
      </c>
    </row>
    <row r="24" spans="2:5" ht="15">
      <c r="B24" s="166"/>
      <c r="C24" s="242"/>
      <c r="D24" s="241"/>
      <c r="E24" s="241">
        <f t="shared" si="0"/>
        <v>0</v>
      </c>
    </row>
    <row r="25" spans="2:5" ht="15">
      <c r="B25" s="161"/>
      <c r="C25" s="243">
        <f>SUM(C3:C24)</f>
        <v>9802.440000000002</v>
      </c>
      <c r="D25" s="243">
        <f>SUM(D3:D24)</f>
        <v>8930.170000000002</v>
      </c>
      <c r="E25" s="243">
        <f>SUM(E3:E24)</f>
        <v>872.2700000000002</v>
      </c>
    </row>
    <row r="27" spans="2:5" ht="15">
      <c r="B27" s="164" t="s">
        <v>0</v>
      </c>
      <c r="C27" s="164" t="s">
        <v>450</v>
      </c>
      <c r="D27" s="164" t="s">
        <v>449</v>
      </c>
      <c r="E27" s="164" t="s">
        <v>378</v>
      </c>
    </row>
    <row r="28" spans="2:5" ht="15.75">
      <c r="B28" s="165" t="s">
        <v>390</v>
      </c>
      <c r="C28" s="244">
        <f aca="true" t="shared" si="1" ref="C28:D30">C3</f>
        <v>3363.0700000000006</v>
      </c>
      <c r="D28" s="154">
        <f t="shared" si="1"/>
        <v>2871.2100000000005</v>
      </c>
      <c r="E28" s="154">
        <f aca="true" t="shared" si="2" ref="E28:E49">C28-D28</f>
        <v>491.8600000000001</v>
      </c>
    </row>
    <row r="29" spans="2:5" ht="15.75">
      <c r="B29" s="165" t="s">
        <v>460</v>
      </c>
      <c r="C29" s="244">
        <f t="shared" si="1"/>
        <v>-960</v>
      </c>
      <c r="D29" s="154">
        <f t="shared" si="1"/>
        <v>-876.7</v>
      </c>
      <c r="E29" s="154">
        <f t="shared" si="2"/>
        <v>-83.29999999999995</v>
      </c>
    </row>
    <row r="30" spans="2:5" ht="15.75">
      <c r="B30" s="165" t="s">
        <v>391</v>
      </c>
      <c r="C30" s="244">
        <f t="shared" si="1"/>
        <v>2229.8500000000004</v>
      </c>
      <c r="D30" s="154">
        <f t="shared" si="1"/>
        <v>1927.6600000000003</v>
      </c>
      <c r="E30" s="154">
        <f t="shared" si="2"/>
        <v>302.19000000000005</v>
      </c>
    </row>
    <row r="31" spans="2:5" ht="15.75">
      <c r="B31" s="165" t="s">
        <v>392</v>
      </c>
      <c r="C31" s="244">
        <v>161.52</v>
      </c>
      <c r="D31" s="154"/>
      <c r="E31" s="154">
        <f t="shared" si="2"/>
        <v>161.52</v>
      </c>
    </row>
    <row r="32" spans="2:5" ht="15.75">
      <c r="B32" s="165" t="s">
        <v>403</v>
      </c>
      <c r="C32" s="244">
        <v>8</v>
      </c>
      <c r="D32" s="154">
        <v>8</v>
      </c>
      <c r="E32" s="154">
        <f t="shared" si="2"/>
        <v>0</v>
      </c>
    </row>
    <row r="33" spans="2:5" ht="15.75">
      <c r="B33" s="165" t="s">
        <v>461</v>
      </c>
      <c r="C33" s="244">
        <v>5000</v>
      </c>
      <c r="D33" s="154">
        <v>5000</v>
      </c>
      <c r="E33" s="154">
        <f t="shared" si="2"/>
        <v>0</v>
      </c>
    </row>
    <row r="34" spans="2:5" ht="15.75">
      <c r="B34" s="165"/>
      <c r="C34" s="244"/>
      <c r="D34" s="154"/>
      <c r="E34" s="154">
        <f t="shared" si="2"/>
        <v>0</v>
      </c>
    </row>
    <row r="35" spans="2:5" ht="15.75">
      <c r="B35" s="165"/>
      <c r="C35" s="244"/>
      <c r="D35" s="154"/>
      <c r="E35" s="154">
        <f t="shared" si="2"/>
        <v>0</v>
      </c>
    </row>
    <row r="36" spans="2:5" ht="15.75">
      <c r="B36" s="165"/>
      <c r="C36" s="244"/>
      <c r="D36" s="154"/>
      <c r="E36" s="154">
        <f t="shared" si="2"/>
        <v>0</v>
      </c>
    </row>
    <row r="37" spans="2:5" ht="15.75">
      <c r="B37" s="165"/>
      <c r="C37" s="244"/>
      <c r="D37" s="154"/>
      <c r="E37" s="154">
        <f t="shared" si="2"/>
        <v>0</v>
      </c>
    </row>
    <row r="38" spans="2:5" ht="15.75">
      <c r="B38" s="165"/>
      <c r="C38" s="244"/>
      <c r="D38" s="154"/>
      <c r="E38" s="154">
        <f t="shared" si="2"/>
        <v>0</v>
      </c>
    </row>
    <row r="39" spans="2:5" ht="15.75">
      <c r="B39" s="165"/>
      <c r="C39" s="244"/>
      <c r="D39" s="154"/>
      <c r="E39" s="154">
        <f t="shared" si="2"/>
        <v>0</v>
      </c>
    </row>
    <row r="40" spans="2:5" ht="15.75">
      <c r="B40" s="165"/>
      <c r="C40" s="244"/>
      <c r="D40" s="154"/>
      <c r="E40" s="154">
        <f t="shared" si="2"/>
        <v>0</v>
      </c>
    </row>
    <row r="41" spans="2:5" ht="15.75">
      <c r="B41" s="165"/>
      <c r="C41" s="244"/>
      <c r="D41" s="154"/>
      <c r="E41" s="154">
        <f t="shared" si="2"/>
        <v>0</v>
      </c>
    </row>
    <row r="42" spans="2:5" ht="15.75">
      <c r="B42" s="165"/>
      <c r="C42" s="244"/>
      <c r="D42" s="154"/>
      <c r="E42" s="154">
        <f t="shared" si="2"/>
        <v>0</v>
      </c>
    </row>
    <row r="43" spans="2:5" ht="15.75">
      <c r="B43" s="165"/>
      <c r="C43" s="244"/>
      <c r="D43" s="154"/>
      <c r="E43" s="154">
        <f t="shared" si="2"/>
        <v>0</v>
      </c>
    </row>
    <row r="44" spans="2:5" ht="15.75">
      <c r="B44" s="165"/>
      <c r="C44" s="244"/>
      <c r="D44" s="154"/>
      <c r="E44" s="154">
        <f t="shared" si="2"/>
        <v>0</v>
      </c>
    </row>
    <row r="45" spans="2:5" ht="15.75">
      <c r="B45" s="165"/>
      <c r="C45" s="244"/>
      <c r="D45" s="154"/>
      <c r="E45" s="154">
        <f t="shared" si="2"/>
        <v>0</v>
      </c>
    </row>
    <row r="46" spans="2:5" ht="15.75">
      <c r="B46" s="165"/>
      <c r="C46" s="244"/>
      <c r="D46" s="154"/>
      <c r="E46" s="154">
        <f t="shared" si="2"/>
        <v>0</v>
      </c>
    </row>
    <row r="47" spans="2:5" ht="15.75">
      <c r="B47" s="165"/>
      <c r="C47" s="244"/>
      <c r="D47" s="154"/>
      <c r="E47" s="154">
        <f t="shared" si="2"/>
        <v>0</v>
      </c>
    </row>
    <row r="48" spans="2:5" ht="15.75">
      <c r="B48" s="165"/>
      <c r="C48" s="244"/>
      <c r="D48" s="154"/>
      <c r="E48" s="154">
        <f t="shared" si="2"/>
        <v>0</v>
      </c>
    </row>
    <row r="49" spans="2:5" ht="15.75">
      <c r="B49" s="165"/>
      <c r="C49" s="244"/>
      <c r="D49" s="154"/>
      <c r="E49" s="154">
        <f t="shared" si="2"/>
        <v>0</v>
      </c>
    </row>
    <row r="50" spans="2:5" ht="15.75">
      <c r="B50" s="156"/>
      <c r="C50" s="154"/>
      <c r="D50" s="154"/>
      <c r="E50" s="154"/>
    </row>
    <row r="51" spans="2:5" ht="15.75">
      <c r="B51" s="156"/>
      <c r="C51" s="167">
        <f>SUM(C28:C50)</f>
        <v>9802.440000000002</v>
      </c>
      <c r="D51" s="167">
        <f>SUM(D28:D50)</f>
        <v>8930.170000000002</v>
      </c>
      <c r="E51" s="167">
        <f>SUM(E28:E50)</f>
        <v>872.2700000000002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1" sqref="A1:G24"/>
    </sheetView>
  </sheetViews>
  <sheetFormatPr defaultColWidth="9.140625" defaultRowHeight="15"/>
  <cols>
    <col min="1" max="1" width="56.8515625" style="0" customWidth="1"/>
    <col min="2" max="3" width="12.421875" style="0" hidden="1" customWidth="1"/>
    <col min="4" max="4" width="21.140625" style="0" hidden="1" customWidth="1"/>
    <col min="5" max="5" width="14.8515625" style="0" hidden="1" customWidth="1"/>
    <col min="6" max="6" width="26.57421875" style="0" hidden="1" customWidth="1"/>
    <col min="7" max="7" width="27.00390625" style="0" customWidth="1"/>
  </cols>
  <sheetData>
    <row r="1" spans="1:7" ht="51.75" customHeight="1">
      <c r="A1" s="258"/>
      <c r="B1" s="258"/>
      <c r="C1" s="258"/>
      <c r="D1" s="258"/>
      <c r="E1" s="258"/>
      <c r="F1" s="258"/>
      <c r="G1" s="258"/>
    </row>
    <row r="2" spans="1:7" ht="15">
      <c r="A2" s="146"/>
      <c r="B2" s="57"/>
      <c r="C2" s="57"/>
      <c r="D2" s="57"/>
      <c r="E2" s="57"/>
      <c r="F2" s="57"/>
      <c r="G2" s="57"/>
    </row>
    <row r="3" spans="1:7" ht="15">
      <c r="A3" s="118"/>
      <c r="B3" s="57"/>
      <c r="C3" s="57"/>
      <c r="D3" s="57"/>
      <c r="E3" s="57"/>
      <c r="F3" s="57"/>
      <c r="G3" s="57"/>
    </row>
    <row r="4" spans="1:7" ht="47.25" customHeight="1">
      <c r="A4" s="119"/>
      <c r="B4" s="163"/>
      <c r="C4" s="250"/>
      <c r="D4" s="251"/>
      <c r="E4" s="252"/>
      <c r="F4" s="163"/>
      <c r="G4" s="163"/>
    </row>
    <row r="5" spans="1:7" ht="33.75" customHeight="1">
      <c r="A5" s="119"/>
      <c r="B5" s="163"/>
      <c r="C5" s="163"/>
      <c r="D5" s="163"/>
      <c r="E5" s="163"/>
      <c r="F5" s="163"/>
      <c r="G5" s="163"/>
    </row>
    <row r="6" spans="1:7" ht="15" customHeight="1">
      <c r="A6" s="122"/>
      <c r="B6" s="123"/>
      <c r="C6" s="123"/>
      <c r="D6" s="123"/>
      <c r="E6" s="123"/>
      <c r="F6" s="123"/>
      <c r="G6" s="123"/>
    </row>
    <row r="7" spans="1:7" ht="15" customHeight="1">
      <c r="A7" s="122"/>
      <c r="B7" s="123"/>
      <c r="C7" s="123"/>
      <c r="D7" s="123"/>
      <c r="E7" s="123"/>
      <c r="F7" s="123"/>
      <c r="G7" s="123"/>
    </row>
    <row r="8" spans="1:7" ht="15" customHeight="1">
      <c r="A8" s="129"/>
      <c r="B8" s="128"/>
      <c r="C8" s="128"/>
      <c r="D8" s="128"/>
      <c r="E8" s="128"/>
      <c r="F8" s="152"/>
      <c r="G8" s="128"/>
    </row>
    <row r="9" spans="1:7" ht="15" customHeight="1">
      <c r="A9" s="129"/>
      <c r="B9" s="128"/>
      <c r="C9" s="128"/>
      <c r="D9" s="128"/>
      <c r="E9" s="128"/>
      <c r="F9" s="152"/>
      <c r="G9" s="128"/>
    </row>
    <row r="10" spans="1:7" ht="15" customHeight="1">
      <c r="A10" s="122"/>
      <c r="B10" s="123"/>
      <c r="C10" s="123"/>
      <c r="D10" s="123"/>
      <c r="E10" s="123"/>
      <c r="F10" s="123"/>
      <c r="G10" s="123"/>
    </row>
    <row r="11" spans="1:7" ht="15" customHeight="1">
      <c r="A11" s="130"/>
      <c r="B11" s="131"/>
      <c r="C11" s="131"/>
      <c r="D11" s="131"/>
      <c r="E11" s="131"/>
      <c r="F11" s="131"/>
      <c r="G11" s="131"/>
    </row>
    <row r="12" spans="1:7" ht="15" customHeight="1">
      <c r="A12" s="122"/>
      <c r="B12" s="123"/>
      <c r="C12" s="123"/>
      <c r="D12" s="123"/>
      <c r="E12" s="123"/>
      <c r="F12" s="123"/>
      <c r="G12" s="123"/>
    </row>
    <row r="13" spans="1:7" ht="15" customHeight="1">
      <c r="A13" s="122"/>
      <c r="B13" s="123"/>
      <c r="C13" s="123"/>
      <c r="D13" s="123"/>
      <c r="E13" s="123"/>
      <c r="F13" s="123"/>
      <c r="G13" s="123"/>
    </row>
    <row r="14" spans="1:7" ht="15" customHeight="1">
      <c r="A14" s="129"/>
      <c r="B14" s="128"/>
      <c r="C14" s="128"/>
      <c r="D14" s="128"/>
      <c r="E14" s="128"/>
      <c r="F14" s="152"/>
      <c r="G14" s="128"/>
    </row>
    <row r="15" spans="1:7" ht="15" customHeight="1">
      <c r="A15" s="129"/>
      <c r="B15" s="128"/>
      <c r="C15" s="128"/>
      <c r="D15" s="128"/>
      <c r="E15" s="128"/>
      <c r="F15" s="152"/>
      <c r="G15" s="128"/>
    </row>
    <row r="16" spans="1:7" ht="15" customHeight="1">
      <c r="A16" s="130"/>
      <c r="B16" s="131"/>
      <c r="C16" s="131"/>
      <c r="D16" s="131"/>
      <c r="E16" s="131"/>
      <c r="F16" s="131"/>
      <c r="G16" s="131"/>
    </row>
    <row r="17" spans="1:7" ht="15" customHeight="1">
      <c r="A17" s="122"/>
      <c r="B17" s="123"/>
      <c r="C17" s="123"/>
      <c r="D17" s="123"/>
      <c r="E17" s="123"/>
      <c r="F17" s="123"/>
      <c r="G17" s="123"/>
    </row>
    <row r="18" spans="1:7" ht="15" customHeight="1">
      <c r="A18" s="122"/>
      <c r="B18" s="123"/>
      <c r="C18" s="123"/>
      <c r="D18" s="123"/>
      <c r="E18" s="123"/>
      <c r="F18" s="123"/>
      <c r="G18" s="123"/>
    </row>
    <row r="19" spans="1:7" ht="15" customHeight="1">
      <c r="A19" s="129"/>
      <c r="B19" s="128"/>
      <c r="C19" s="128"/>
      <c r="D19" s="128"/>
      <c r="E19" s="128"/>
      <c r="F19" s="152"/>
      <c r="G19" s="128"/>
    </row>
    <row r="20" spans="1:7" ht="15" customHeight="1">
      <c r="A20" s="129"/>
      <c r="B20" s="128"/>
      <c r="C20" s="128"/>
      <c r="D20" s="128"/>
      <c r="E20" s="128"/>
      <c r="F20" s="152"/>
      <c r="G20" s="128"/>
    </row>
    <row r="21" spans="1:7" ht="15" customHeight="1">
      <c r="A21" s="129"/>
      <c r="B21" s="128"/>
      <c r="C21" s="128"/>
      <c r="D21" s="128"/>
      <c r="E21" s="128"/>
      <c r="F21" s="152"/>
      <c r="G21" s="128"/>
    </row>
    <row r="22" spans="1:7" ht="15" customHeight="1">
      <c r="A22" s="130"/>
      <c r="B22" s="131"/>
      <c r="C22" s="131"/>
      <c r="D22" s="131"/>
      <c r="E22" s="131"/>
      <c r="F22" s="131"/>
      <c r="G22" s="131"/>
    </row>
    <row r="23" spans="1:7" ht="15" customHeight="1" thickBot="1">
      <c r="A23" s="143"/>
      <c r="B23" s="144"/>
      <c r="C23" s="144"/>
      <c r="D23" s="144"/>
      <c r="E23" s="144"/>
      <c r="F23" s="144"/>
      <c r="G23" s="168"/>
    </row>
  </sheetData>
  <sheetProtection/>
  <mergeCells count="2">
    <mergeCell ref="A1:G1"/>
    <mergeCell ref="C4:E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4"/>
  <sheetViews>
    <sheetView zoomScalePageLayoutView="0" workbookViewId="0" topLeftCell="A1">
      <pane ySplit="5" topLeftCell="A24" activePane="bottomLeft" state="frozen"/>
      <selection pane="topLeft" activeCell="A1" sqref="A1"/>
      <selection pane="bottomLeft" activeCell="C120" sqref="C120"/>
    </sheetView>
  </sheetViews>
  <sheetFormatPr defaultColWidth="18.421875" defaultRowHeight="15"/>
  <cols>
    <col min="1" max="1" width="43.421875" style="146" bestFit="1" customWidth="1"/>
    <col min="2" max="2" width="12.421875" style="57" customWidth="1"/>
    <col min="3" max="3" width="13.00390625" style="57" customWidth="1"/>
    <col min="4" max="4" width="15.140625" style="57" customWidth="1"/>
    <col min="5" max="5" width="12.140625" style="57" customWidth="1"/>
    <col min="6" max="6" width="13.8515625" style="57" customWidth="1"/>
    <col min="7" max="7" width="14.00390625" style="57" customWidth="1"/>
    <col min="8" max="8" width="11.421875" style="172" bestFit="1" customWidth="1"/>
    <col min="9" max="9" width="11.00390625" style="57" customWidth="1"/>
    <col min="10" max="10" width="11.421875" style="172" customWidth="1"/>
    <col min="11" max="11" width="11.421875" style="57" bestFit="1" customWidth="1"/>
    <col min="12" max="12" width="12.28125" style="57" customWidth="1"/>
    <col min="13" max="13" width="13.00390625" style="57" bestFit="1" customWidth="1"/>
    <col min="14" max="16384" width="18.421875" style="57" customWidth="1"/>
  </cols>
  <sheetData>
    <row r="1" ht="12.75">
      <c r="A1" s="117" t="s">
        <v>454</v>
      </c>
    </row>
    <row r="2" ht="12.75"/>
    <row r="3" ht="12.75">
      <c r="A3" s="118" t="s">
        <v>62</v>
      </c>
    </row>
    <row r="4" spans="1:13" ht="51">
      <c r="A4" s="119" t="s">
        <v>121</v>
      </c>
      <c r="B4" s="120" t="s">
        <v>1</v>
      </c>
      <c r="C4" s="253" t="s">
        <v>360</v>
      </c>
      <c r="D4" s="253"/>
      <c r="E4" s="253"/>
      <c r="F4" s="120"/>
      <c r="G4" s="120"/>
      <c r="H4" s="253" t="s">
        <v>371</v>
      </c>
      <c r="I4" s="253"/>
      <c r="J4" s="253"/>
      <c r="K4" s="253"/>
      <c r="L4" s="253"/>
      <c r="M4" s="121" t="s">
        <v>369</v>
      </c>
    </row>
    <row r="5" spans="1:13" ht="51">
      <c r="A5" s="119"/>
      <c r="B5" s="120" t="s">
        <v>292</v>
      </c>
      <c r="C5" s="120" t="s">
        <v>362</v>
      </c>
      <c r="D5" s="120" t="s">
        <v>363</v>
      </c>
      <c r="E5" s="120" t="s">
        <v>364</v>
      </c>
      <c r="F5" s="120" t="s">
        <v>372</v>
      </c>
      <c r="G5" s="120" t="s">
        <v>373</v>
      </c>
      <c r="H5" s="247" t="s">
        <v>365</v>
      </c>
      <c r="I5" s="120" t="s">
        <v>366</v>
      </c>
      <c r="J5" s="247" t="s">
        <v>367</v>
      </c>
      <c r="K5" s="120" t="s">
        <v>361</v>
      </c>
      <c r="L5" s="120" t="s">
        <v>368</v>
      </c>
      <c r="M5" s="121" t="s">
        <v>370</v>
      </c>
    </row>
    <row r="6" spans="1:13" ht="12.75">
      <c r="A6" s="122"/>
      <c r="B6" s="123"/>
      <c r="C6" s="123"/>
      <c r="D6" s="123"/>
      <c r="E6" s="123"/>
      <c r="F6" s="123"/>
      <c r="G6" s="123"/>
      <c r="H6" s="128"/>
      <c r="I6" s="123"/>
      <c r="J6" s="128"/>
      <c r="K6" s="123"/>
      <c r="L6" s="123"/>
      <c r="M6" s="124" t="s">
        <v>60</v>
      </c>
    </row>
    <row r="7" spans="1:13" ht="12.75">
      <c r="A7" s="122"/>
      <c r="B7" s="125"/>
      <c r="C7" s="125"/>
      <c r="D7" s="125"/>
      <c r="E7" s="125"/>
      <c r="F7" s="126"/>
      <c r="G7" s="125"/>
      <c r="H7" s="248"/>
      <c r="I7" s="125"/>
      <c r="J7" s="248"/>
      <c r="K7" s="125"/>
      <c r="L7" s="125"/>
      <c r="M7" s="125"/>
    </row>
    <row r="8" spans="1:13" ht="12.75">
      <c r="A8" s="127" t="s">
        <v>63</v>
      </c>
      <c r="B8" s="123"/>
      <c r="C8" s="123"/>
      <c r="D8" s="123"/>
      <c r="E8" s="123">
        <f>C8-D8</f>
        <v>0</v>
      </c>
      <c r="F8" s="123">
        <f>B8-C8</f>
        <v>0</v>
      </c>
      <c r="G8" s="123"/>
      <c r="H8" s="128"/>
      <c r="I8" s="123"/>
      <c r="J8" s="128"/>
      <c r="K8" s="123">
        <f>H8-J8</f>
        <v>0</v>
      </c>
      <c r="L8" s="123">
        <f>E8+K8</f>
        <v>0</v>
      </c>
      <c r="M8" s="123">
        <f>D8+J8</f>
        <v>0</v>
      </c>
    </row>
    <row r="9" spans="1:13" ht="12.75">
      <c r="A9" s="122" t="s">
        <v>64</v>
      </c>
      <c r="B9" s="123"/>
      <c r="C9" s="123"/>
      <c r="D9" s="123"/>
      <c r="E9" s="123">
        <f aca="true" t="shared" si="0" ref="E9:E76">C9-D9</f>
        <v>0</v>
      </c>
      <c r="F9" s="123">
        <f aca="true" t="shared" si="1" ref="F9:F76">B9-C9</f>
        <v>0</v>
      </c>
      <c r="G9" s="123"/>
      <c r="H9" s="128"/>
      <c r="I9" s="123"/>
      <c r="J9" s="128"/>
      <c r="K9" s="123">
        <f aca="true" t="shared" si="2" ref="K9:K76">H9-J9</f>
        <v>0</v>
      </c>
      <c r="L9" s="123">
        <f aca="true" t="shared" si="3" ref="L9:L76">E9+K9</f>
        <v>0</v>
      </c>
      <c r="M9" s="123">
        <f aca="true" t="shared" si="4" ref="M9:M76">D9+J9</f>
        <v>0</v>
      </c>
    </row>
    <row r="10" spans="1:13" ht="12.75">
      <c r="A10" s="129" t="s">
        <v>65</v>
      </c>
      <c r="B10" s="123">
        <v>12000</v>
      </c>
      <c r="C10" s="128">
        <v>3000.44</v>
      </c>
      <c r="D10" s="123">
        <f>C10</f>
        <v>3000.44</v>
      </c>
      <c r="E10" s="123">
        <f t="shared" si="0"/>
        <v>0</v>
      </c>
      <c r="F10" s="123">
        <f t="shared" si="1"/>
        <v>8999.56</v>
      </c>
      <c r="G10" s="123"/>
      <c r="H10" s="128"/>
      <c r="I10" s="123"/>
      <c r="J10" s="128"/>
      <c r="K10" s="123">
        <f t="shared" si="2"/>
        <v>0</v>
      </c>
      <c r="L10" s="123">
        <f t="shared" si="3"/>
        <v>0</v>
      </c>
      <c r="M10" s="123">
        <f t="shared" si="4"/>
        <v>3000.44</v>
      </c>
    </row>
    <row r="11" spans="1:13" ht="12.75">
      <c r="A11" s="129" t="s">
        <v>66</v>
      </c>
      <c r="B11" s="123">
        <v>3500</v>
      </c>
      <c r="C11" s="128">
        <f>70+115.02+455+404+128.8+84.9+145+102.1+113.3+37.2+58+27.9+35.7+11.6+28.2+26.9+28.21+38.5+27.3+19.5+23.5+71.35+52.1+252.03+9.2+7.3+8.99+49.9</f>
        <v>2431.5</v>
      </c>
      <c r="D11" s="123">
        <f>70+115.02+455+404+128.8+84.9+145+102.1+113.3+37.2+58+27.9+35.7+11.6+28.2+26.9+28.21+38.5+27.3+19.5+23.5+71.35+52.1+252.03+9.2+7.3+8.99+49.9</f>
        <v>2431.5</v>
      </c>
      <c r="E11" s="123">
        <f t="shared" si="0"/>
        <v>0</v>
      </c>
      <c r="F11" s="123">
        <f t="shared" si="1"/>
        <v>1068.5</v>
      </c>
      <c r="G11" s="123"/>
      <c r="H11" s="128">
        <v>222.5</v>
      </c>
      <c r="I11" s="128"/>
      <c r="J11" s="128">
        <v>222.5</v>
      </c>
      <c r="K11" s="123">
        <f t="shared" si="2"/>
        <v>0</v>
      </c>
      <c r="L11" s="123">
        <f t="shared" si="3"/>
        <v>0</v>
      </c>
      <c r="M11" s="123">
        <f t="shared" si="4"/>
        <v>2654</v>
      </c>
    </row>
    <row r="12" spans="1:13" ht="12.75">
      <c r="A12" s="129" t="s">
        <v>67</v>
      </c>
      <c r="B12" s="123">
        <v>4000</v>
      </c>
      <c r="C12" s="123">
        <f>3008.15</f>
        <v>3008.15</v>
      </c>
      <c r="D12" s="123">
        <f>C12</f>
        <v>3008.15</v>
      </c>
      <c r="E12" s="123">
        <f t="shared" si="0"/>
        <v>0</v>
      </c>
      <c r="F12" s="123">
        <f t="shared" si="1"/>
        <v>991.8499999999999</v>
      </c>
      <c r="G12" s="123"/>
      <c r="H12" s="128"/>
      <c r="I12" s="123"/>
      <c r="J12" s="128"/>
      <c r="K12" s="123">
        <f t="shared" si="2"/>
        <v>0</v>
      </c>
      <c r="L12" s="123">
        <f t="shared" si="3"/>
        <v>0</v>
      </c>
      <c r="M12" s="123">
        <f t="shared" si="4"/>
        <v>3008.15</v>
      </c>
    </row>
    <row r="13" spans="1:13" ht="12.75">
      <c r="A13" s="129" t="s">
        <v>68</v>
      </c>
      <c r="B13" s="123">
        <v>1000</v>
      </c>
      <c r="C13" s="123"/>
      <c r="D13" s="123"/>
      <c r="E13" s="123">
        <f t="shared" si="0"/>
        <v>0</v>
      </c>
      <c r="F13" s="123">
        <f t="shared" si="1"/>
        <v>1000</v>
      </c>
      <c r="G13" s="123"/>
      <c r="H13" s="128"/>
      <c r="I13" s="123"/>
      <c r="J13" s="128"/>
      <c r="K13" s="123">
        <f t="shared" si="2"/>
        <v>0</v>
      </c>
      <c r="L13" s="123">
        <f t="shared" si="3"/>
        <v>0</v>
      </c>
      <c r="M13" s="123">
        <f t="shared" si="4"/>
        <v>0</v>
      </c>
    </row>
    <row r="14" spans="1:13" ht="12.75">
      <c r="A14" s="129" t="s">
        <v>69</v>
      </c>
      <c r="B14" s="123"/>
      <c r="C14" s="123"/>
      <c r="D14" s="123"/>
      <c r="E14" s="123">
        <f t="shared" si="0"/>
        <v>0</v>
      </c>
      <c r="F14" s="123">
        <f t="shared" si="1"/>
        <v>0</v>
      </c>
      <c r="G14" s="123"/>
      <c r="H14" s="128"/>
      <c r="I14" s="123"/>
      <c r="J14" s="128"/>
      <c r="K14" s="123">
        <f t="shared" si="2"/>
        <v>0</v>
      </c>
      <c r="L14" s="123">
        <f t="shared" si="3"/>
        <v>0</v>
      </c>
      <c r="M14" s="123">
        <f t="shared" si="4"/>
        <v>0</v>
      </c>
    </row>
    <row r="15" spans="1:13" ht="12.75">
      <c r="A15" s="129" t="s">
        <v>70</v>
      </c>
      <c r="B15" s="123"/>
      <c r="C15" s="123"/>
      <c r="D15" s="123"/>
      <c r="E15" s="123">
        <f t="shared" si="0"/>
        <v>0</v>
      </c>
      <c r="F15" s="123">
        <f t="shared" si="1"/>
        <v>0</v>
      </c>
      <c r="G15" s="123"/>
      <c r="H15" s="128"/>
      <c r="I15" s="123"/>
      <c r="J15" s="128"/>
      <c r="K15" s="123">
        <f t="shared" si="2"/>
        <v>0</v>
      </c>
      <c r="L15" s="123">
        <f t="shared" si="3"/>
        <v>0</v>
      </c>
      <c r="M15" s="123">
        <f t="shared" si="4"/>
        <v>0</v>
      </c>
    </row>
    <row r="16" spans="1:13" ht="12.75">
      <c r="A16" s="122"/>
      <c r="B16" s="123"/>
      <c r="C16" s="123"/>
      <c r="D16" s="123"/>
      <c r="E16" s="123">
        <f t="shared" si="0"/>
        <v>0</v>
      </c>
      <c r="F16" s="123">
        <f t="shared" si="1"/>
        <v>0</v>
      </c>
      <c r="G16" s="123"/>
      <c r="H16" s="128"/>
      <c r="I16" s="123"/>
      <c r="J16" s="128"/>
      <c r="K16" s="123">
        <f t="shared" si="2"/>
        <v>0</v>
      </c>
      <c r="L16" s="123">
        <f t="shared" si="3"/>
        <v>0</v>
      </c>
      <c r="M16" s="123">
        <f t="shared" si="4"/>
        <v>0</v>
      </c>
    </row>
    <row r="17" spans="1:13" ht="12.75">
      <c r="A17" s="130" t="s">
        <v>71</v>
      </c>
      <c r="B17" s="131">
        <f>SUM(B10:B16)</f>
        <v>20500</v>
      </c>
      <c r="C17" s="131">
        <f>SUM(C8:C16)</f>
        <v>8440.09</v>
      </c>
      <c r="D17" s="131">
        <f>SUM(D8:D16)</f>
        <v>8440.09</v>
      </c>
      <c r="E17" s="131">
        <f t="shared" si="0"/>
        <v>0</v>
      </c>
      <c r="F17" s="131">
        <f t="shared" si="1"/>
        <v>12059.91</v>
      </c>
      <c r="G17" s="131"/>
      <c r="H17" s="131">
        <f>SUM(H6:H16)</f>
        <v>222.5</v>
      </c>
      <c r="I17" s="131">
        <f>SUM(I6:I16)</f>
        <v>0</v>
      </c>
      <c r="J17" s="131">
        <f>SUM(J6:J16)</f>
        <v>222.5</v>
      </c>
      <c r="K17" s="131">
        <f t="shared" si="2"/>
        <v>0</v>
      </c>
      <c r="L17" s="131">
        <f t="shared" si="3"/>
        <v>0</v>
      </c>
      <c r="M17" s="131">
        <f t="shared" si="4"/>
        <v>8662.59</v>
      </c>
    </row>
    <row r="18" spans="1:13" ht="12.75">
      <c r="A18" s="122"/>
      <c r="B18" s="123"/>
      <c r="C18" s="123"/>
      <c r="D18" s="123"/>
      <c r="E18" s="123">
        <f t="shared" si="0"/>
        <v>0</v>
      </c>
      <c r="F18" s="123">
        <f t="shared" si="1"/>
        <v>0</v>
      </c>
      <c r="G18" s="123"/>
      <c r="H18" s="128"/>
      <c r="I18" s="123"/>
      <c r="J18" s="128"/>
      <c r="K18" s="123">
        <f t="shared" si="2"/>
        <v>0</v>
      </c>
      <c r="L18" s="123">
        <f t="shared" si="3"/>
        <v>0</v>
      </c>
      <c r="M18" s="123">
        <f t="shared" si="4"/>
        <v>0</v>
      </c>
    </row>
    <row r="19" spans="1:13" ht="25.5">
      <c r="A19" s="122" t="s">
        <v>72</v>
      </c>
      <c r="B19" s="123"/>
      <c r="C19" s="123"/>
      <c r="D19" s="123"/>
      <c r="E19" s="123">
        <f t="shared" si="0"/>
        <v>0</v>
      </c>
      <c r="F19" s="123">
        <f t="shared" si="1"/>
        <v>0</v>
      </c>
      <c r="G19" s="123"/>
      <c r="H19" s="128"/>
      <c r="I19" s="123"/>
      <c r="J19" s="128"/>
      <c r="K19" s="123">
        <f t="shared" si="2"/>
        <v>0</v>
      </c>
      <c r="L19" s="123">
        <f t="shared" si="3"/>
        <v>0</v>
      </c>
      <c r="M19" s="123">
        <f t="shared" si="4"/>
        <v>0</v>
      </c>
    </row>
    <row r="20" spans="1:13" ht="12.75">
      <c r="A20" s="129" t="s">
        <v>73</v>
      </c>
      <c r="B20" s="128">
        <v>26400</v>
      </c>
      <c r="C20" s="128">
        <v>22361.31</v>
      </c>
      <c r="D20" s="128">
        <f>C20-3288.16</f>
        <v>19073.15</v>
      </c>
      <c r="E20" s="128">
        <f t="shared" si="0"/>
        <v>3288.16</v>
      </c>
      <c r="F20" s="150">
        <f t="shared" si="1"/>
        <v>4038.6899999999987</v>
      </c>
      <c r="G20" s="128">
        <v>0</v>
      </c>
      <c r="H20" s="128">
        <v>1784.17</v>
      </c>
      <c r="I20" s="128"/>
      <c r="J20" s="128">
        <v>1784.17</v>
      </c>
      <c r="K20" s="128">
        <f t="shared" si="2"/>
        <v>0</v>
      </c>
      <c r="L20" s="151">
        <f t="shared" si="3"/>
        <v>3288.16</v>
      </c>
      <c r="M20" s="128">
        <f t="shared" si="4"/>
        <v>20857.32</v>
      </c>
    </row>
    <row r="21" spans="1:13" ht="12.75">
      <c r="A21" s="129" t="s">
        <v>74</v>
      </c>
      <c r="B21" s="128">
        <v>2000</v>
      </c>
      <c r="C21" s="128">
        <v>2000</v>
      </c>
      <c r="D21" s="128">
        <v>2000</v>
      </c>
      <c r="E21" s="128">
        <f t="shared" si="0"/>
        <v>0</v>
      </c>
      <c r="F21" s="128">
        <f t="shared" si="1"/>
        <v>0</v>
      </c>
      <c r="G21" s="128">
        <v>0</v>
      </c>
      <c r="H21" s="128"/>
      <c r="I21" s="128"/>
      <c r="J21" s="128"/>
      <c r="K21" s="128">
        <f t="shared" si="2"/>
        <v>0</v>
      </c>
      <c r="L21" s="128">
        <f t="shared" si="3"/>
        <v>0</v>
      </c>
      <c r="M21" s="128">
        <f t="shared" si="4"/>
        <v>2000</v>
      </c>
    </row>
    <row r="22" spans="1:13" ht="12.75">
      <c r="A22" s="129" t="s">
        <v>75</v>
      </c>
      <c r="B22" s="128">
        <v>600</v>
      </c>
      <c r="C22" s="128">
        <f>212.33</f>
        <v>212.33</v>
      </c>
      <c r="D22" s="128">
        <f>C22</f>
        <v>212.33</v>
      </c>
      <c r="E22" s="128">
        <f t="shared" si="0"/>
        <v>0</v>
      </c>
      <c r="F22" s="150">
        <f t="shared" si="1"/>
        <v>387.66999999999996</v>
      </c>
      <c r="G22" s="128">
        <v>0</v>
      </c>
      <c r="H22" s="128">
        <v>0</v>
      </c>
      <c r="I22" s="128"/>
      <c r="J22" s="128">
        <v>0</v>
      </c>
      <c r="K22" s="128">
        <f t="shared" si="2"/>
        <v>0</v>
      </c>
      <c r="L22" s="128">
        <f t="shared" si="3"/>
        <v>0</v>
      </c>
      <c r="M22" s="128">
        <f t="shared" si="4"/>
        <v>212.33</v>
      </c>
    </row>
    <row r="23" spans="1:13" ht="12.75">
      <c r="A23" s="129" t="s">
        <v>76</v>
      </c>
      <c r="B23" s="128"/>
      <c r="C23" s="128"/>
      <c r="D23" s="128"/>
      <c r="E23" s="128">
        <f t="shared" si="0"/>
        <v>0</v>
      </c>
      <c r="F23" s="128">
        <f t="shared" si="1"/>
        <v>0</v>
      </c>
      <c r="G23" s="128">
        <v>0</v>
      </c>
      <c r="H23" s="128"/>
      <c r="I23" s="128"/>
      <c r="J23" s="128"/>
      <c r="K23" s="128">
        <f t="shared" si="2"/>
        <v>0</v>
      </c>
      <c r="L23" s="128">
        <f t="shared" si="3"/>
        <v>0</v>
      </c>
      <c r="M23" s="128">
        <f t="shared" si="4"/>
        <v>0</v>
      </c>
    </row>
    <row r="24" spans="1:13" ht="12.75">
      <c r="A24" s="129" t="s">
        <v>185</v>
      </c>
      <c r="B24" s="128">
        <v>8000</v>
      </c>
      <c r="C24" s="128">
        <f>6177.05+209.34</f>
        <v>6386.39</v>
      </c>
      <c r="D24" s="128">
        <f>C24-835.81</f>
        <v>5550.58</v>
      </c>
      <c r="E24" s="128">
        <f t="shared" si="0"/>
        <v>835.8100000000004</v>
      </c>
      <c r="F24" s="128">
        <f t="shared" si="1"/>
        <v>1613.6099999999997</v>
      </c>
      <c r="G24" s="128">
        <v>0</v>
      </c>
      <c r="H24" s="128">
        <v>839.35</v>
      </c>
      <c r="I24" s="128">
        <v>0</v>
      </c>
      <c r="J24" s="128">
        <f>H24+I24</f>
        <v>839.35</v>
      </c>
      <c r="K24" s="128">
        <f t="shared" si="2"/>
        <v>0</v>
      </c>
      <c r="L24" s="151">
        <f t="shared" si="3"/>
        <v>835.8100000000004</v>
      </c>
      <c r="M24" s="128">
        <f t="shared" si="4"/>
        <v>6389.93</v>
      </c>
    </row>
    <row r="25" spans="1:13" ht="12.75">
      <c r="A25" s="122"/>
      <c r="B25" s="123"/>
      <c r="C25" s="123"/>
      <c r="D25" s="123"/>
      <c r="E25" s="123">
        <f t="shared" si="0"/>
        <v>0</v>
      </c>
      <c r="F25" s="123">
        <f t="shared" si="1"/>
        <v>0</v>
      </c>
      <c r="G25" s="128">
        <v>0</v>
      </c>
      <c r="H25" s="128"/>
      <c r="I25" s="123"/>
      <c r="J25" s="128"/>
      <c r="K25" s="123">
        <f t="shared" si="2"/>
        <v>0</v>
      </c>
      <c r="L25" s="123">
        <f t="shared" si="3"/>
        <v>0</v>
      </c>
      <c r="M25" s="123">
        <f t="shared" si="4"/>
        <v>0</v>
      </c>
    </row>
    <row r="26" spans="1:13" ht="25.5">
      <c r="A26" s="130" t="s">
        <v>77</v>
      </c>
      <c r="B26" s="131">
        <f>SUM(B20:B25)</f>
        <v>37000</v>
      </c>
      <c r="C26" s="131">
        <f>SUM(C20:C25)</f>
        <v>30960.030000000002</v>
      </c>
      <c r="D26" s="131">
        <f>SUM(D20:D25)</f>
        <v>26836.060000000005</v>
      </c>
      <c r="E26" s="131">
        <f>SUM(E20:E25)</f>
        <v>4123.97</v>
      </c>
      <c r="F26" s="131">
        <f t="shared" si="1"/>
        <v>6039.9699999999975</v>
      </c>
      <c r="G26" s="131">
        <f>SUM(G18:G25)</f>
        <v>0</v>
      </c>
      <c r="H26" s="131">
        <f>SUM(H18:H25)</f>
        <v>2623.52</v>
      </c>
      <c r="I26" s="131">
        <f>SUM(I18:I25)</f>
        <v>0</v>
      </c>
      <c r="J26" s="131">
        <f>SUM(J18:J25)</f>
        <v>2623.52</v>
      </c>
      <c r="K26" s="131">
        <f t="shared" si="2"/>
        <v>0</v>
      </c>
      <c r="L26" s="131">
        <f t="shared" si="3"/>
        <v>4123.97</v>
      </c>
      <c r="M26" s="131">
        <f t="shared" si="4"/>
        <v>29459.580000000005</v>
      </c>
    </row>
    <row r="27" spans="1:13" ht="12.75">
      <c r="A27" s="122"/>
      <c r="B27" s="123"/>
      <c r="C27" s="123"/>
      <c r="D27" s="123"/>
      <c r="E27" s="123">
        <f t="shared" si="0"/>
        <v>0</v>
      </c>
      <c r="F27" s="123">
        <f t="shared" si="1"/>
        <v>0</v>
      </c>
      <c r="G27" s="123"/>
      <c r="H27" s="128"/>
      <c r="I27" s="123"/>
      <c r="J27" s="128"/>
      <c r="K27" s="123">
        <f t="shared" si="2"/>
        <v>0</v>
      </c>
      <c r="L27" s="123">
        <f t="shared" si="3"/>
        <v>0</v>
      </c>
      <c r="M27" s="123">
        <f t="shared" si="4"/>
        <v>0</v>
      </c>
    </row>
    <row r="28" spans="1:13" ht="25.5">
      <c r="A28" s="122" t="s">
        <v>85</v>
      </c>
      <c r="B28" s="123"/>
      <c r="C28" s="123"/>
      <c r="D28" s="123"/>
      <c r="E28" s="123">
        <f t="shared" si="0"/>
        <v>0</v>
      </c>
      <c r="F28" s="123">
        <f t="shared" si="1"/>
        <v>0</v>
      </c>
      <c r="G28" s="123"/>
      <c r="H28" s="128"/>
      <c r="I28" s="123"/>
      <c r="J28" s="128"/>
      <c r="K28" s="123">
        <f t="shared" si="2"/>
        <v>0</v>
      </c>
      <c r="L28" s="123">
        <f t="shared" si="3"/>
        <v>0</v>
      </c>
      <c r="M28" s="123">
        <f t="shared" si="4"/>
        <v>0</v>
      </c>
    </row>
    <row r="29" spans="1:13" ht="25.5">
      <c r="A29" s="122" t="s">
        <v>78</v>
      </c>
      <c r="B29" s="123"/>
      <c r="C29" s="123"/>
      <c r="D29" s="123"/>
      <c r="E29" s="123">
        <f t="shared" si="0"/>
        <v>0</v>
      </c>
      <c r="F29" s="123">
        <f t="shared" si="1"/>
        <v>0</v>
      </c>
      <c r="G29" s="123"/>
      <c r="H29" s="128"/>
      <c r="I29" s="123"/>
      <c r="J29" s="128"/>
      <c r="K29" s="123">
        <f t="shared" si="2"/>
        <v>0</v>
      </c>
      <c r="L29" s="123">
        <f t="shared" si="3"/>
        <v>0</v>
      </c>
      <c r="M29" s="123">
        <f t="shared" si="4"/>
        <v>0</v>
      </c>
    </row>
    <row r="30" spans="1:13" ht="17.25" customHeight="1">
      <c r="A30" s="129" t="s">
        <v>79</v>
      </c>
      <c r="B30" s="128">
        <v>500</v>
      </c>
      <c r="C30" s="128"/>
      <c r="D30" s="128">
        <v>0</v>
      </c>
      <c r="E30" s="128">
        <f t="shared" si="0"/>
        <v>0</v>
      </c>
      <c r="F30" s="150">
        <f t="shared" si="1"/>
        <v>500</v>
      </c>
      <c r="G30" s="128"/>
      <c r="H30" s="128">
        <v>542.9</v>
      </c>
      <c r="I30" s="128"/>
      <c r="J30" s="128">
        <v>542.9</v>
      </c>
      <c r="K30" s="128">
        <f t="shared" si="2"/>
        <v>0</v>
      </c>
      <c r="L30" s="151">
        <f t="shared" si="3"/>
        <v>0</v>
      </c>
      <c r="M30" s="128">
        <f t="shared" si="4"/>
        <v>542.9</v>
      </c>
    </row>
    <row r="31" spans="1:13" ht="17.25" customHeight="1">
      <c r="A31" s="122" t="s">
        <v>80</v>
      </c>
      <c r="B31" s="123">
        <v>0</v>
      </c>
      <c r="C31" s="128">
        <v>0</v>
      </c>
      <c r="D31" s="123">
        <v>0</v>
      </c>
      <c r="E31" s="123">
        <f t="shared" si="0"/>
        <v>0</v>
      </c>
      <c r="F31" s="133">
        <f t="shared" si="1"/>
        <v>0</v>
      </c>
      <c r="G31" s="123">
        <f>F31</f>
        <v>0</v>
      </c>
      <c r="H31" s="128"/>
      <c r="I31" s="123"/>
      <c r="J31" s="128"/>
      <c r="K31" s="123">
        <f t="shared" si="2"/>
        <v>0</v>
      </c>
      <c r="L31" s="123">
        <f t="shared" si="3"/>
        <v>0</v>
      </c>
      <c r="M31" s="123">
        <f t="shared" si="4"/>
        <v>0</v>
      </c>
    </row>
    <row r="32" spans="1:13" ht="17.25" customHeight="1">
      <c r="A32" s="129" t="s">
        <v>81</v>
      </c>
      <c r="B32" s="128">
        <v>9500</v>
      </c>
      <c r="C32" s="128">
        <f>8921.86</f>
        <v>8921.86</v>
      </c>
      <c r="D32" s="128">
        <f>C32-260</f>
        <v>8661.86</v>
      </c>
      <c r="E32" s="128">
        <f t="shared" si="0"/>
        <v>260</v>
      </c>
      <c r="F32" s="150">
        <f t="shared" si="1"/>
        <v>578.1399999999994</v>
      </c>
      <c r="G32" s="128">
        <v>0</v>
      </c>
      <c r="H32" s="128">
        <v>0</v>
      </c>
      <c r="I32" s="128"/>
      <c r="J32" s="128">
        <v>0</v>
      </c>
      <c r="K32" s="128">
        <f t="shared" si="2"/>
        <v>0</v>
      </c>
      <c r="L32" s="128">
        <f t="shared" si="3"/>
        <v>260</v>
      </c>
      <c r="M32" s="128">
        <f t="shared" si="4"/>
        <v>8661.86</v>
      </c>
    </row>
    <row r="33" spans="1:13" ht="17.25" customHeight="1">
      <c r="A33" s="129" t="s">
        <v>82</v>
      </c>
      <c r="B33" s="123"/>
      <c r="C33" s="128"/>
      <c r="D33" s="123"/>
      <c r="E33" s="128">
        <f t="shared" si="0"/>
        <v>0</v>
      </c>
      <c r="F33" s="123">
        <f t="shared" si="1"/>
        <v>0</v>
      </c>
      <c r="G33" s="123"/>
      <c r="H33" s="128"/>
      <c r="I33" s="123"/>
      <c r="J33" s="128"/>
      <c r="K33" s="123">
        <f t="shared" si="2"/>
        <v>0</v>
      </c>
      <c r="L33" s="123">
        <f t="shared" si="3"/>
        <v>0</v>
      </c>
      <c r="M33" s="123">
        <f t="shared" si="4"/>
        <v>0</v>
      </c>
    </row>
    <row r="34" spans="1:13" ht="17.25" customHeight="1">
      <c r="A34" s="129" t="s">
        <v>188</v>
      </c>
      <c r="B34" s="123">
        <v>200</v>
      </c>
      <c r="C34" s="128">
        <f>165.92</f>
        <v>165.92</v>
      </c>
      <c r="D34" s="123">
        <f>165.92</f>
        <v>165.92</v>
      </c>
      <c r="E34" s="128">
        <f t="shared" si="0"/>
        <v>0</v>
      </c>
      <c r="F34" s="123">
        <f t="shared" si="1"/>
        <v>34.08000000000001</v>
      </c>
      <c r="G34" s="123"/>
      <c r="H34" s="128">
        <v>0</v>
      </c>
      <c r="I34" s="123"/>
      <c r="J34" s="128">
        <v>0</v>
      </c>
      <c r="K34" s="123">
        <f t="shared" si="2"/>
        <v>0</v>
      </c>
      <c r="L34" s="123">
        <f t="shared" si="3"/>
        <v>0</v>
      </c>
      <c r="M34" s="123">
        <f t="shared" si="4"/>
        <v>165.92</v>
      </c>
    </row>
    <row r="35" spans="1:13" ht="17.25" customHeight="1">
      <c r="A35" s="129" t="s">
        <v>193</v>
      </c>
      <c r="B35" s="128">
        <v>760</v>
      </c>
      <c r="C35" s="128">
        <v>542.9</v>
      </c>
      <c r="D35" s="128">
        <f>C35</f>
        <v>542.9</v>
      </c>
      <c r="E35" s="128">
        <f t="shared" si="0"/>
        <v>0</v>
      </c>
      <c r="F35" s="128">
        <f t="shared" si="1"/>
        <v>217.10000000000002</v>
      </c>
      <c r="G35" s="128"/>
      <c r="H35" s="128">
        <v>0</v>
      </c>
      <c r="I35" s="128"/>
      <c r="J35" s="128">
        <v>0</v>
      </c>
      <c r="K35" s="128">
        <f t="shared" si="2"/>
        <v>0</v>
      </c>
      <c r="L35" s="128">
        <f t="shared" si="3"/>
        <v>0</v>
      </c>
      <c r="M35" s="128">
        <f t="shared" si="4"/>
        <v>542.9</v>
      </c>
    </row>
    <row r="36" spans="1:13" ht="17.25" customHeight="1">
      <c r="A36" s="129" t="s">
        <v>190</v>
      </c>
      <c r="B36" s="123">
        <v>0</v>
      </c>
      <c r="C36" s="128">
        <v>0</v>
      </c>
      <c r="D36" s="123">
        <v>0</v>
      </c>
      <c r="E36" s="128">
        <f t="shared" si="0"/>
        <v>0</v>
      </c>
      <c r="F36" s="123">
        <f t="shared" si="1"/>
        <v>0</v>
      </c>
      <c r="G36" s="123"/>
      <c r="H36" s="128"/>
      <c r="I36" s="123"/>
      <c r="J36" s="128"/>
      <c r="K36" s="123">
        <f t="shared" si="2"/>
        <v>0</v>
      </c>
      <c r="L36" s="123">
        <f t="shared" si="3"/>
        <v>0</v>
      </c>
      <c r="M36" s="123">
        <f t="shared" si="4"/>
        <v>0</v>
      </c>
    </row>
    <row r="37" spans="1:13" ht="17.25" customHeight="1">
      <c r="A37" s="129" t="s">
        <v>83</v>
      </c>
      <c r="B37" s="123"/>
      <c r="C37" s="128"/>
      <c r="D37" s="123"/>
      <c r="E37" s="128">
        <f t="shared" si="0"/>
        <v>0</v>
      </c>
      <c r="F37" s="123">
        <f t="shared" si="1"/>
        <v>0</v>
      </c>
      <c r="G37" s="123"/>
      <c r="H37" s="128"/>
      <c r="I37" s="123"/>
      <c r="J37" s="128"/>
      <c r="K37" s="123">
        <f t="shared" si="2"/>
        <v>0</v>
      </c>
      <c r="L37" s="123">
        <f t="shared" si="3"/>
        <v>0</v>
      </c>
      <c r="M37" s="123">
        <f t="shared" si="4"/>
        <v>0</v>
      </c>
    </row>
    <row r="38" spans="1:13" ht="17.25" customHeight="1">
      <c r="A38" s="129" t="s">
        <v>200</v>
      </c>
      <c r="B38" s="128">
        <v>500</v>
      </c>
      <c r="C38" s="128">
        <f>244+258</f>
        <v>502</v>
      </c>
      <c r="D38" s="128">
        <v>244</v>
      </c>
      <c r="E38" s="128">
        <f t="shared" si="0"/>
        <v>258</v>
      </c>
      <c r="F38" s="150">
        <f t="shared" si="1"/>
        <v>-2</v>
      </c>
      <c r="G38" s="128">
        <v>0</v>
      </c>
      <c r="H38" s="128"/>
      <c r="I38" s="128"/>
      <c r="J38" s="128"/>
      <c r="K38" s="128">
        <f t="shared" si="2"/>
        <v>0</v>
      </c>
      <c r="L38" s="128">
        <f t="shared" si="3"/>
        <v>258</v>
      </c>
      <c r="M38" s="128">
        <f t="shared" si="4"/>
        <v>244</v>
      </c>
    </row>
    <row r="39" spans="1:13" ht="12.75">
      <c r="A39" s="129" t="s">
        <v>205</v>
      </c>
      <c r="B39" s="128">
        <v>500</v>
      </c>
      <c r="C39" s="128">
        <v>40</v>
      </c>
      <c r="D39" s="128">
        <v>40</v>
      </c>
      <c r="E39" s="128">
        <f t="shared" si="0"/>
        <v>0</v>
      </c>
      <c r="F39" s="128">
        <f t="shared" si="1"/>
        <v>460</v>
      </c>
      <c r="G39" s="128"/>
      <c r="H39" s="128"/>
      <c r="I39" s="128"/>
      <c r="J39" s="128"/>
      <c r="K39" s="128">
        <f t="shared" si="2"/>
        <v>0</v>
      </c>
      <c r="L39" s="128">
        <f t="shared" si="3"/>
        <v>0</v>
      </c>
      <c r="M39" s="128">
        <f t="shared" si="4"/>
        <v>40</v>
      </c>
    </row>
    <row r="40" spans="1:13" ht="12.75">
      <c r="A40" s="129" t="s">
        <v>455</v>
      </c>
      <c r="B40" s="123">
        <v>1000</v>
      </c>
      <c r="C40" s="128">
        <v>976</v>
      </c>
      <c r="D40" s="123">
        <v>976</v>
      </c>
      <c r="E40" s="128">
        <f t="shared" si="0"/>
        <v>0</v>
      </c>
      <c r="F40" s="123">
        <f t="shared" si="1"/>
        <v>24</v>
      </c>
      <c r="G40" s="123"/>
      <c r="H40" s="128"/>
      <c r="I40" s="123"/>
      <c r="J40" s="128"/>
      <c r="K40" s="123">
        <f t="shared" si="2"/>
        <v>0</v>
      </c>
      <c r="L40" s="123">
        <f t="shared" si="3"/>
        <v>0</v>
      </c>
      <c r="M40" s="123">
        <f t="shared" si="4"/>
        <v>976</v>
      </c>
    </row>
    <row r="41" spans="1:13" ht="25.5">
      <c r="A41" s="129" t="s">
        <v>389</v>
      </c>
      <c r="B41" s="128">
        <v>1000</v>
      </c>
      <c r="C41" s="128">
        <f>527.04</f>
        <v>527.04</v>
      </c>
      <c r="D41" s="128">
        <v>527.04</v>
      </c>
      <c r="E41" s="128">
        <f t="shared" si="0"/>
        <v>0</v>
      </c>
      <c r="F41" s="128">
        <f t="shared" si="1"/>
        <v>472.96000000000004</v>
      </c>
      <c r="G41" s="128"/>
      <c r="H41" s="128">
        <v>0</v>
      </c>
      <c r="I41" s="128"/>
      <c r="J41" s="128">
        <v>0</v>
      </c>
      <c r="K41" s="128">
        <f t="shared" si="2"/>
        <v>0</v>
      </c>
      <c r="L41" s="128">
        <f t="shared" si="3"/>
        <v>0</v>
      </c>
      <c r="M41" s="128">
        <f t="shared" si="4"/>
        <v>527.04</v>
      </c>
    </row>
    <row r="42" spans="1:13" ht="12.75">
      <c r="A42" s="129" t="s">
        <v>204</v>
      </c>
      <c r="B42" s="128">
        <v>370</v>
      </c>
      <c r="C42" s="128">
        <f>268.4+98.57</f>
        <v>366.96999999999997</v>
      </c>
      <c r="D42" s="128">
        <f>268.4+98.57-22.45</f>
        <v>344.52</v>
      </c>
      <c r="E42" s="128">
        <f t="shared" si="0"/>
        <v>22.44999999999999</v>
      </c>
      <c r="F42" s="150">
        <f t="shared" si="1"/>
        <v>3.0300000000000296</v>
      </c>
      <c r="G42" s="128">
        <f>F42</f>
        <v>3.0300000000000296</v>
      </c>
      <c r="H42" s="128">
        <v>11.71</v>
      </c>
      <c r="I42" s="128"/>
      <c r="J42" s="128">
        <v>11.71</v>
      </c>
      <c r="K42" s="128">
        <f t="shared" si="2"/>
        <v>0</v>
      </c>
      <c r="L42" s="151">
        <f t="shared" si="3"/>
        <v>22.44999999999999</v>
      </c>
      <c r="M42" s="128">
        <f t="shared" si="4"/>
        <v>356.22999999999996</v>
      </c>
    </row>
    <row r="43" spans="1:13" ht="12.75">
      <c r="A43" s="122"/>
      <c r="B43" s="123"/>
      <c r="C43" s="123"/>
      <c r="D43" s="123"/>
      <c r="E43" s="123">
        <f t="shared" si="0"/>
        <v>0</v>
      </c>
      <c r="F43" s="123">
        <f t="shared" si="1"/>
        <v>0</v>
      </c>
      <c r="G43" s="123"/>
      <c r="H43" s="128"/>
      <c r="I43" s="123"/>
      <c r="J43" s="128"/>
      <c r="K43" s="123">
        <f t="shared" si="2"/>
        <v>0</v>
      </c>
      <c r="L43" s="123">
        <f t="shared" si="3"/>
        <v>0</v>
      </c>
      <c r="M43" s="123">
        <f t="shared" si="4"/>
        <v>0</v>
      </c>
    </row>
    <row r="44" spans="1:13" ht="25.5">
      <c r="A44" s="130" t="s">
        <v>84</v>
      </c>
      <c r="B44" s="131">
        <f>SUM(B28:B43)</f>
        <v>14330</v>
      </c>
      <c r="C44" s="131">
        <f>SUM(C28:C43)</f>
        <v>12042.69</v>
      </c>
      <c r="D44" s="131">
        <f>SUM(D28:D43)</f>
        <v>11502.240000000002</v>
      </c>
      <c r="E44" s="131">
        <f t="shared" si="0"/>
        <v>540.4499999999989</v>
      </c>
      <c r="F44" s="131">
        <f t="shared" si="1"/>
        <v>2287.3099999999995</v>
      </c>
      <c r="G44" s="131">
        <f>SUM(G29:G43)</f>
        <v>3.0300000000000296</v>
      </c>
      <c r="H44" s="131">
        <f>SUM(H28:H43)</f>
        <v>554.61</v>
      </c>
      <c r="I44" s="131">
        <f>SUM(I28:I43)</f>
        <v>0</v>
      </c>
      <c r="J44" s="131">
        <f>SUM(J28:J43)</f>
        <v>554.61</v>
      </c>
      <c r="K44" s="131">
        <f t="shared" si="2"/>
        <v>0</v>
      </c>
      <c r="L44" s="131">
        <f t="shared" si="3"/>
        <v>540.4499999999989</v>
      </c>
      <c r="M44" s="131">
        <f t="shared" si="4"/>
        <v>12056.850000000002</v>
      </c>
    </row>
    <row r="45" spans="1:13" ht="12.75">
      <c r="A45" s="122"/>
      <c r="B45" s="123"/>
      <c r="C45" s="123"/>
      <c r="D45" s="123"/>
      <c r="E45" s="123">
        <f t="shared" si="0"/>
        <v>0</v>
      </c>
      <c r="F45" s="123">
        <f t="shared" si="1"/>
        <v>0</v>
      </c>
      <c r="G45" s="123"/>
      <c r="H45" s="128"/>
      <c r="I45" s="123"/>
      <c r="J45" s="128"/>
      <c r="K45" s="123">
        <f t="shared" si="2"/>
        <v>0</v>
      </c>
      <c r="L45" s="123">
        <f t="shared" si="3"/>
        <v>0</v>
      </c>
      <c r="M45" s="123">
        <f t="shared" si="4"/>
        <v>0</v>
      </c>
    </row>
    <row r="46" spans="1:13" ht="12.75">
      <c r="A46" s="122" t="s">
        <v>86</v>
      </c>
      <c r="B46" s="123"/>
      <c r="C46" s="123"/>
      <c r="D46" s="123"/>
      <c r="E46" s="123">
        <f t="shared" si="0"/>
        <v>0</v>
      </c>
      <c r="F46" s="123">
        <f t="shared" si="1"/>
        <v>0</v>
      </c>
      <c r="G46" s="123"/>
      <c r="H46" s="128"/>
      <c r="I46" s="123"/>
      <c r="J46" s="128"/>
      <c r="K46" s="123">
        <f t="shared" si="2"/>
        <v>0</v>
      </c>
      <c r="L46" s="123">
        <f t="shared" si="3"/>
        <v>0</v>
      </c>
      <c r="M46" s="123">
        <f t="shared" si="4"/>
        <v>0</v>
      </c>
    </row>
    <row r="47" spans="1:13" ht="12.75">
      <c r="A47" s="129" t="s">
        <v>194</v>
      </c>
      <c r="B47" s="128">
        <v>17000</v>
      </c>
      <c r="C47" s="128">
        <v>16104</v>
      </c>
      <c r="D47" s="128">
        <f>4026+4026+4026</f>
        <v>12078</v>
      </c>
      <c r="E47" s="128">
        <f t="shared" si="0"/>
        <v>4026</v>
      </c>
      <c r="F47" s="150">
        <f t="shared" si="1"/>
        <v>896</v>
      </c>
      <c r="G47" s="128">
        <v>0</v>
      </c>
      <c r="H47" s="128">
        <v>0</v>
      </c>
      <c r="I47" s="128"/>
      <c r="J47" s="128">
        <v>0</v>
      </c>
      <c r="K47" s="128">
        <f t="shared" si="2"/>
        <v>0</v>
      </c>
      <c r="L47" s="151">
        <f t="shared" si="3"/>
        <v>4026</v>
      </c>
      <c r="M47" s="128">
        <f t="shared" si="4"/>
        <v>12078</v>
      </c>
    </row>
    <row r="48" spans="1:13" ht="12.75">
      <c r="A48" s="129" t="s">
        <v>195</v>
      </c>
      <c r="B48" s="128">
        <v>4500</v>
      </c>
      <c r="C48" s="128">
        <f>376.58+715.32+483.74+182.71+410.26+108.51+431.89+184.77+489.53-157.64+788.14</f>
        <v>4013.8100000000004</v>
      </c>
      <c r="D48" s="128">
        <f>376.58+715.32+483.74+182.71+410.26+108.51+431.89+184.77-157.64+489.53</f>
        <v>3225.67</v>
      </c>
      <c r="E48" s="128">
        <f t="shared" si="0"/>
        <v>788.1400000000003</v>
      </c>
      <c r="F48" s="128">
        <f t="shared" si="1"/>
        <v>486.1899999999996</v>
      </c>
      <c r="G48" s="128"/>
      <c r="H48" s="128">
        <v>417.4</v>
      </c>
      <c r="I48" s="128"/>
      <c r="J48" s="128">
        <v>417.4</v>
      </c>
      <c r="K48" s="128">
        <f t="shared" si="2"/>
        <v>0</v>
      </c>
      <c r="L48" s="151">
        <f t="shared" si="3"/>
        <v>788.1400000000003</v>
      </c>
      <c r="M48" s="128">
        <f t="shared" si="4"/>
        <v>3643.07</v>
      </c>
    </row>
    <row r="49" spans="1:13" ht="12.75">
      <c r="A49" s="129" t="s">
        <v>196</v>
      </c>
      <c r="B49" s="128">
        <v>100</v>
      </c>
      <c r="C49" s="128">
        <f>30.93+7.69+18.47+23.25+22.24+13.51</f>
        <v>116.09</v>
      </c>
      <c r="D49" s="128">
        <f>30.93+7.69+18.47+23.25+22.24</f>
        <v>102.58</v>
      </c>
      <c r="E49" s="128">
        <f t="shared" si="0"/>
        <v>13.510000000000005</v>
      </c>
      <c r="F49" s="152">
        <f t="shared" si="1"/>
        <v>-16.090000000000003</v>
      </c>
      <c r="G49" s="128"/>
      <c r="H49" s="128">
        <v>0</v>
      </c>
      <c r="I49" s="128"/>
      <c r="J49" s="128">
        <v>0</v>
      </c>
      <c r="K49" s="128">
        <f t="shared" si="2"/>
        <v>0</v>
      </c>
      <c r="L49" s="151">
        <f t="shared" si="3"/>
        <v>13.510000000000005</v>
      </c>
      <c r="M49" s="128">
        <f t="shared" si="4"/>
        <v>102.58</v>
      </c>
    </row>
    <row r="50" spans="1:13" ht="12.75">
      <c r="A50" s="129" t="s">
        <v>202</v>
      </c>
      <c r="B50" s="128">
        <v>800</v>
      </c>
      <c r="C50" s="128">
        <v>422.62</v>
      </c>
      <c r="D50" s="128">
        <v>422.62</v>
      </c>
      <c r="E50" s="128">
        <f t="shared" si="0"/>
        <v>0</v>
      </c>
      <c r="F50" s="128">
        <f t="shared" si="1"/>
        <v>377.38</v>
      </c>
      <c r="G50" s="128"/>
      <c r="H50" s="128"/>
      <c r="I50" s="128"/>
      <c r="J50" s="128"/>
      <c r="K50" s="128">
        <f t="shared" si="2"/>
        <v>0</v>
      </c>
      <c r="L50" s="128">
        <f t="shared" si="3"/>
        <v>0</v>
      </c>
      <c r="M50" s="128">
        <f t="shared" si="4"/>
        <v>422.62</v>
      </c>
    </row>
    <row r="51" spans="1:13" ht="12.75">
      <c r="A51" s="129" t="s">
        <v>87</v>
      </c>
      <c r="B51" s="128">
        <v>1500</v>
      </c>
      <c r="C51" s="128">
        <f>70+169.65+45.14+103+61+124.44+40.25</f>
        <v>613.48</v>
      </c>
      <c r="D51" s="128">
        <f>C51</f>
        <v>613.48</v>
      </c>
      <c r="E51" s="128">
        <f t="shared" si="0"/>
        <v>0</v>
      </c>
      <c r="F51" s="150">
        <f t="shared" si="1"/>
        <v>886.52</v>
      </c>
      <c r="G51" s="128">
        <v>0</v>
      </c>
      <c r="H51" s="128"/>
      <c r="I51" s="128"/>
      <c r="J51" s="128"/>
      <c r="K51" s="128">
        <f t="shared" si="2"/>
        <v>0</v>
      </c>
      <c r="L51" s="128">
        <f t="shared" si="3"/>
        <v>0</v>
      </c>
      <c r="M51" s="128">
        <f t="shared" si="4"/>
        <v>613.48</v>
      </c>
    </row>
    <row r="52" spans="1:13" ht="12.75">
      <c r="A52" s="129" t="s">
        <v>198</v>
      </c>
      <c r="B52" s="128">
        <v>6000</v>
      </c>
      <c r="C52" s="128">
        <f>1.5+95+993.29+35.7+7.85+1686.93+1.03+47.5+64.6+958.51+0.34+152.06+19.3+634.2+47.5</f>
        <v>4745.31</v>
      </c>
      <c r="D52" s="128">
        <f>1.5+95+993.29+35.7+7.85+1686.93+1.03+47.5+64.6+958.51+0.34+152.06+19.3+47.5</f>
        <v>4111.110000000001</v>
      </c>
      <c r="E52" s="128">
        <f t="shared" si="0"/>
        <v>634.1999999999998</v>
      </c>
      <c r="F52" s="150">
        <f t="shared" si="1"/>
        <v>1254.6899999999996</v>
      </c>
      <c r="G52" s="128">
        <v>0</v>
      </c>
      <c r="H52" s="128">
        <v>179.78</v>
      </c>
      <c r="I52" s="128"/>
      <c r="J52" s="128">
        <v>179.78</v>
      </c>
      <c r="K52" s="128">
        <f t="shared" si="2"/>
        <v>0</v>
      </c>
      <c r="L52" s="151">
        <f t="shared" si="3"/>
        <v>634.1999999999998</v>
      </c>
      <c r="M52" s="128">
        <f t="shared" si="4"/>
        <v>4290.89</v>
      </c>
    </row>
    <row r="53" spans="1:13" ht="12.75">
      <c r="A53" s="129" t="s">
        <v>88</v>
      </c>
      <c r="B53" s="128">
        <v>2580</v>
      </c>
      <c r="C53" s="128">
        <v>1757.94</v>
      </c>
      <c r="D53" s="128">
        <f>375+450+482.94</f>
        <v>1307.94</v>
      </c>
      <c r="E53" s="128">
        <f t="shared" si="0"/>
        <v>450</v>
      </c>
      <c r="F53" s="150">
        <f t="shared" si="1"/>
        <v>822.06</v>
      </c>
      <c r="G53" s="128">
        <f>F53</f>
        <v>822.06</v>
      </c>
      <c r="H53" s="128">
        <v>750.3</v>
      </c>
      <c r="I53" s="128"/>
      <c r="J53" s="128">
        <v>750.3</v>
      </c>
      <c r="K53" s="128">
        <f t="shared" si="2"/>
        <v>0</v>
      </c>
      <c r="L53" s="151">
        <f t="shared" si="3"/>
        <v>450</v>
      </c>
      <c r="M53" s="128">
        <f t="shared" si="4"/>
        <v>2058.24</v>
      </c>
    </row>
    <row r="54" spans="1:13" ht="12.75">
      <c r="A54" s="129" t="s">
        <v>197</v>
      </c>
      <c r="B54" s="128">
        <v>2300</v>
      </c>
      <c r="C54" s="128">
        <f>243.27+243.27+243.27+244.09+243.77+255.47</f>
        <v>1473.14</v>
      </c>
      <c r="D54" s="128">
        <f>243.27+243.27+244.09+243.77</f>
        <v>974.4</v>
      </c>
      <c r="E54" s="128">
        <f t="shared" si="0"/>
        <v>498.7400000000001</v>
      </c>
      <c r="F54" s="150">
        <f t="shared" si="1"/>
        <v>826.8599999999999</v>
      </c>
      <c r="G54" s="128">
        <v>0</v>
      </c>
      <c r="H54" s="128">
        <v>498.74</v>
      </c>
      <c r="I54" s="128"/>
      <c r="J54" s="128">
        <v>498.74</v>
      </c>
      <c r="K54" s="128">
        <f t="shared" si="2"/>
        <v>0</v>
      </c>
      <c r="L54" s="151">
        <f t="shared" si="3"/>
        <v>498.7400000000001</v>
      </c>
      <c r="M54" s="128">
        <f t="shared" si="4"/>
        <v>1473.1399999999999</v>
      </c>
    </row>
    <row r="55" spans="1:13" ht="12.75">
      <c r="A55" s="129" t="s">
        <v>382</v>
      </c>
      <c r="B55" s="128">
        <v>50</v>
      </c>
      <c r="C55" s="128">
        <f>24.4+24.4</f>
        <v>48.8</v>
      </c>
      <c r="D55" s="128">
        <f>24.4</f>
        <v>24.4</v>
      </c>
      <c r="E55" s="128">
        <f>C55-D55</f>
        <v>24.4</v>
      </c>
      <c r="F55" s="150">
        <f>B55-C55</f>
        <v>1.2000000000000028</v>
      </c>
      <c r="G55" s="128">
        <f>F55</f>
        <v>1.2000000000000028</v>
      </c>
      <c r="H55" s="128">
        <v>31.72</v>
      </c>
      <c r="I55" s="128"/>
      <c r="J55" s="128">
        <v>31.72</v>
      </c>
      <c r="K55" s="128">
        <f t="shared" si="2"/>
        <v>0</v>
      </c>
      <c r="L55" s="151">
        <f t="shared" si="3"/>
        <v>24.4</v>
      </c>
      <c r="M55" s="128">
        <f t="shared" si="4"/>
        <v>56.12</v>
      </c>
    </row>
    <row r="56" spans="1:13" ht="12.75">
      <c r="A56" s="129" t="s">
        <v>89</v>
      </c>
      <c r="B56" s="123"/>
      <c r="C56" s="128"/>
      <c r="D56" s="123"/>
      <c r="E56" s="128">
        <f t="shared" si="0"/>
        <v>0</v>
      </c>
      <c r="F56" s="123">
        <f t="shared" si="1"/>
        <v>0</v>
      </c>
      <c r="G56" s="123"/>
      <c r="H56" s="128"/>
      <c r="I56" s="123"/>
      <c r="J56" s="128"/>
      <c r="K56" s="123">
        <f t="shared" si="2"/>
        <v>0</v>
      </c>
      <c r="L56" s="123">
        <f t="shared" si="3"/>
        <v>0</v>
      </c>
      <c r="M56" s="123">
        <f t="shared" si="4"/>
        <v>0</v>
      </c>
    </row>
    <row r="57" spans="1:13" ht="12.75">
      <c r="A57" s="129" t="s">
        <v>90</v>
      </c>
      <c r="B57" s="123"/>
      <c r="C57" s="128"/>
      <c r="D57" s="123"/>
      <c r="E57" s="128">
        <f t="shared" si="0"/>
        <v>0</v>
      </c>
      <c r="F57" s="123">
        <f t="shared" si="1"/>
        <v>0</v>
      </c>
      <c r="G57" s="123"/>
      <c r="H57" s="128"/>
      <c r="I57" s="123"/>
      <c r="J57" s="128"/>
      <c r="K57" s="123">
        <f t="shared" si="2"/>
        <v>0</v>
      </c>
      <c r="L57" s="123">
        <f t="shared" si="3"/>
        <v>0</v>
      </c>
      <c r="M57" s="123">
        <f t="shared" si="4"/>
        <v>0</v>
      </c>
    </row>
    <row r="58" spans="1:13" ht="12.75">
      <c r="A58" s="129" t="s">
        <v>201</v>
      </c>
      <c r="B58" s="128">
        <v>550</v>
      </c>
      <c r="C58" s="128">
        <f>439.2</f>
        <v>439.2</v>
      </c>
      <c r="D58" s="128">
        <f>C58-219.6</f>
        <v>219.6</v>
      </c>
      <c r="E58" s="128">
        <f t="shared" si="0"/>
        <v>219.6</v>
      </c>
      <c r="F58" s="150">
        <f t="shared" si="1"/>
        <v>110.80000000000001</v>
      </c>
      <c r="G58" s="128">
        <v>0</v>
      </c>
      <c r="H58" s="128">
        <v>0</v>
      </c>
      <c r="I58" s="128"/>
      <c r="J58" s="128">
        <v>0</v>
      </c>
      <c r="K58" s="128">
        <f t="shared" si="2"/>
        <v>0</v>
      </c>
      <c r="L58" s="151">
        <f t="shared" si="3"/>
        <v>219.6</v>
      </c>
      <c r="M58" s="128">
        <f t="shared" si="4"/>
        <v>219.6</v>
      </c>
    </row>
    <row r="59" spans="1:13" ht="12.75">
      <c r="A59" s="129" t="s">
        <v>456</v>
      </c>
      <c r="B59" s="128">
        <v>150</v>
      </c>
      <c r="C59" s="128"/>
      <c r="D59" s="128"/>
      <c r="E59" s="128">
        <f t="shared" si="0"/>
        <v>0</v>
      </c>
      <c r="F59" s="150">
        <f t="shared" si="1"/>
        <v>150</v>
      </c>
      <c r="G59" s="128"/>
      <c r="H59" s="128"/>
      <c r="I59" s="128"/>
      <c r="J59" s="128"/>
      <c r="K59" s="128">
        <f t="shared" si="2"/>
        <v>0</v>
      </c>
      <c r="L59" s="128">
        <f t="shared" si="3"/>
        <v>0</v>
      </c>
      <c r="M59" s="128">
        <f t="shared" si="4"/>
        <v>0</v>
      </c>
    </row>
    <row r="60" spans="1:13" ht="12.75">
      <c r="A60" s="129" t="s">
        <v>91</v>
      </c>
      <c r="B60" s="123">
        <v>250</v>
      </c>
      <c r="C60" s="128">
        <f>3.1+236</f>
        <v>239.1</v>
      </c>
      <c r="D60" s="123">
        <f>3.1+236</f>
        <v>239.1</v>
      </c>
      <c r="E60" s="123">
        <f t="shared" si="0"/>
        <v>0</v>
      </c>
      <c r="F60" s="133">
        <f t="shared" si="1"/>
        <v>10.900000000000006</v>
      </c>
      <c r="G60" s="123">
        <v>0</v>
      </c>
      <c r="H60" s="128"/>
      <c r="I60" s="123"/>
      <c r="J60" s="128"/>
      <c r="K60" s="123">
        <f t="shared" si="2"/>
        <v>0</v>
      </c>
      <c r="L60" s="123">
        <f t="shared" si="3"/>
        <v>0</v>
      </c>
      <c r="M60" s="123">
        <f t="shared" si="4"/>
        <v>239.1</v>
      </c>
    </row>
    <row r="61" spans="1:13" ht="12.75">
      <c r="A61" s="129" t="s">
        <v>383</v>
      </c>
      <c r="B61" s="123">
        <v>800</v>
      </c>
      <c r="C61" s="128">
        <f>367.98</f>
        <v>367.98</v>
      </c>
      <c r="D61" s="123">
        <f>367.98</f>
        <v>367.98</v>
      </c>
      <c r="E61" s="123"/>
      <c r="F61" s="132"/>
      <c r="G61" s="123"/>
      <c r="H61" s="128"/>
      <c r="I61" s="123"/>
      <c r="J61" s="128"/>
      <c r="K61" s="123"/>
      <c r="L61" s="123"/>
      <c r="M61" s="123">
        <f t="shared" si="4"/>
        <v>367.98</v>
      </c>
    </row>
    <row r="62" spans="1:13" ht="12.75">
      <c r="A62" s="122" t="s">
        <v>203</v>
      </c>
      <c r="B62" s="123">
        <v>0</v>
      </c>
      <c r="C62" s="128">
        <v>0</v>
      </c>
      <c r="D62" s="123">
        <v>0</v>
      </c>
      <c r="E62" s="123">
        <f t="shared" si="0"/>
        <v>0</v>
      </c>
      <c r="F62" s="123">
        <f t="shared" si="1"/>
        <v>0</v>
      </c>
      <c r="G62" s="123"/>
      <c r="H62" s="128"/>
      <c r="I62" s="123"/>
      <c r="J62" s="128"/>
      <c r="K62" s="123">
        <f t="shared" si="2"/>
        <v>0</v>
      </c>
      <c r="L62" s="123">
        <f t="shared" si="3"/>
        <v>0</v>
      </c>
      <c r="M62" s="123">
        <f t="shared" si="4"/>
        <v>0</v>
      </c>
    </row>
    <row r="63" spans="1:13" ht="25.5">
      <c r="A63" s="130" t="s">
        <v>92</v>
      </c>
      <c r="B63" s="131">
        <f>SUM(B47:B62)</f>
        <v>36580</v>
      </c>
      <c r="C63" s="131">
        <f>SUM(C47:C62)</f>
        <v>30341.469999999998</v>
      </c>
      <c r="D63" s="131">
        <f>SUM(D47:D62)</f>
        <v>23686.88</v>
      </c>
      <c r="E63" s="131">
        <f t="shared" si="0"/>
        <v>6654.5899999999965</v>
      </c>
      <c r="F63" s="131">
        <f t="shared" si="1"/>
        <v>6238.5300000000025</v>
      </c>
      <c r="G63" s="131">
        <f>SUM(G46:G62)</f>
        <v>823.26</v>
      </c>
      <c r="H63" s="131">
        <f>SUM(H45:H62)</f>
        <v>1877.94</v>
      </c>
      <c r="I63" s="131">
        <f>SUM(I45:I62)</f>
        <v>0</v>
      </c>
      <c r="J63" s="131">
        <f>SUM(J45:J62)</f>
        <v>1877.94</v>
      </c>
      <c r="K63" s="131">
        <f t="shared" si="2"/>
        <v>0</v>
      </c>
      <c r="L63" s="245">
        <f t="shared" si="3"/>
        <v>6654.5899999999965</v>
      </c>
      <c r="M63" s="131">
        <f t="shared" si="4"/>
        <v>25564.82</v>
      </c>
    </row>
    <row r="64" spans="1:13" ht="12.75">
      <c r="A64" s="122"/>
      <c r="B64" s="123"/>
      <c r="C64" s="123"/>
      <c r="D64" s="123"/>
      <c r="E64" s="123">
        <f t="shared" si="0"/>
        <v>0</v>
      </c>
      <c r="F64" s="123">
        <f t="shared" si="1"/>
        <v>0</v>
      </c>
      <c r="G64" s="123"/>
      <c r="H64" s="128"/>
      <c r="I64" s="123"/>
      <c r="J64" s="128"/>
      <c r="K64" s="123">
        <f t="shared" si="2"/>
        <v>0</v>
      </c>
      <c r="L64" s="246">
        <f t="shared" si="3"/>
        <v>0</v>
      </c>
      <c r="M64" s="123">
        <f t="shared" si="4"/>
        <v>0</v>
      </c>
    </row>
    <row r="65" spans="1:13" ht="12.75">
      <c r="A65" s="122" t="s">
        <v>93</v>
      </c>
      <c r="B65" s="123"/>
      <c r="C65" s="123"/>
      <c r="D65" s="123"/>
      <c r="E65" s="123">
        <f t="shared" si="0"/>
        <v>0</v>
      </c>
      <c r="F65" s="123">
        <f t="shared" si="1"/>
        <v>0</v>
      </c>
      <c r="G65" s="123"/>
      <c r="H65" s="128"/>
      <c r="I65" s="123"/>
      <c r="J65" s="128"/>
      <c r="K65" s="123">
        <f t="shared" si="2"/>
        <v>0</v>
      </c>
      <c r="L65" s="246">
        <f t="shared" si="3"/>
        <v>0</v>
      </c>
      <c r="M65" s="123">
        <f t="shared" si="4"/>
        <v>0</v>
      </c>
    </row>
    <row r="66" spans="1:13" ht="12.75">
      <c r="A66" s="129" t="s">
        <v>457</v>
      </c>
      <c r="B66" s="128">
        <v>6500</v>
      </c>
      <c r="C66" s="128">
        <f>1256</f>
        <v>1256</v>
      </c>
      <c r="D66" s="128">
        <f>1256</f>
        <v>1256</v>
      </c>
      <c r="E66" s="128">
        <f t="shared" si="0"/>
        <v>0</v>
      </c>
      <c r="F66" s="128">
        <f t="shared" si="1"/>
        <v>5244</v>
      </c>
      <c r="G66" s="128"/>
      <c r="H66" s="128">
        <v>0</v>
      </c>
      <c r="I66" s="128"/>
      <c r="J66" s="128">
        <v>0</v>
      </c>
      <c r="K66" s="128">
        <f t="shared" si="2"/>
        <v>0</v>
      </c>
      <c r="L66" s="151">
        <f t="shared" si="3"/>
        <v>0</v>
      </c>
      <c r="M66" s="128">
        <f t="shared" si="4"/>
        <v>1256</v>
      </c>
    </row>
    <row r="67" spans="1:13" ht="12.75">
      <c r="A67" s="129" t="s">
        <v>384</v>
      </c>
      <c r="B67" s="128">
        <v>8000</v>
      </c>
      <c r="C67" s="128">
        <f>120+2030.6+2027.44+1166.5+1168.36</f>
        <v>6512.9</v>
      </c>
      <c r="D67" s="128">
        <f>120+2030.6+1166.5+1168.36</f>
        <v>4485.46</v>
      </c>
      <c r="E67" s="128">
        <f>C67-D67</f>
        <v>2027.4399999999996</v>
      </c>
      <c r="F67" s="128">
        <f t="shared" si="1"/>
        <v>1487.1000000000004</v>
      </c>
      <c r="G67" s="128"/>
      <c r="H67" s="128">
        <v>1995.6</v>
      </c>
      <c r="I67" s="128"/>
      <c r="J67" s="128">
        <v>1995.6</v>
      </c>
      <c r="K67" s="128">
        <f t="shared" si="2"/>
        <v>0</v>
      </c>
      <c r="L67" s="151">
        <f>E67+K67</f>
        <v>2027.4399999999996</v>
      </c>
      <c r="M67" s="128">
        <f t="shared" si="4"/>
        <v>6481.0599999999995</v>
      </c>
    </row>
    <row r="68" spans="1:13" ht="12.75">
      <c r="A68" s="129" t="s">
        <v>412</v>
      </c>
      <c r="B68" s="128">
        <v>10000</v>
      </c>
      <c r="C68" s="128">
        <f>1000+500+7185.8+854+195.2</f>
        <v>9735</v>
      </c>
      <c r="D68" s="128">
        <f>1000+500+7185.8+854+195.2</f>
        <v>9735</v>
      </c>
      <c r="E68" s="128">
        <f>C68-D68</f>
        <v>0</v>
      </c>
      <c r="F68" s="128">
        <f>B68-C68</f>
        <v>265</v>
      </c>
      <c r="G68" s="128"/>
      <c r="H68" s="128">
        <v>620</v>
      </c>
      <c r="I68" s="128"/>
      <c r="J68" s="128">
        <v>620</v>
      </c>
      <c r="K68" s="128">
        <f>H68-J68</f>
        <v>0</v>
      </c>
      <c r="L68" s="151">
        <f>E68+K68</f>
        <v>0</v>
      </c>
      <c r="M68" s="128">
        <f>D68+J68</f>
        <v>10355</v>
      </c>
    </row>
    <row r="69" spans="1:13" ht="12.75">
      <c r="A69" s="129" t="s">
        <v>94</v>
      </c>
      <c r="B69" s="123"/>
      <c r="C69" s="128"/>
      <c r="D69" s="123"/>
      <c r="E69" s="123">
        <f t="shared" si="0"/>
        <v>0</v>
      </c>
      <c r="F69" s="123">
        <f t="shared" si="1"/>
        <v>0</v>
      </c>
      <c r="G69" s="123"/>
      <c r="H69" s="128"/>
      <c r="I69" s="123"/>
      <c r="J69" s="128"/>
      <c r="K69" s="123">
        <f t="shared" si="2"/>
        <v>0</v>
      </c>
      <c r="L69" s="246">
        <f t="shared" si="3"/>
        <v>0</v>
      </c>
      <c r="M69" s="123">
        <f t="shared" si="4"/>
        <v>0</v>
      </c>
    </row>
    <row r="70" spans="1:13" ht="12.75">
      <c r="A70" s="129" t="s">
        <v>95</v>
      </c>
      <c r="B70" s="123">
        <v>100</v>
      </c>
      <c r="C70" s="128">
        <v>0</v>
      </c>
      <c r="D70" s="123">
        <v>0</v>
      </c>
      <c r="E70" s="123">
        <f t="shared" si="0"/>
        <v>0</v>
      </c>
      <c r="F70" s="123">
        <f t="shared" si="1"/>
        <v>100</v>
      </c>
      <c r="G70" s="123"/>
      <c r="H70" s="128"/>
      <c r="I70" s="123"/>
      <c r="J70" s="128"/>
      <c r="K70" s="123">
        <f t="shared" si="2"/>
        <v>0</v>
      </c>
      <c r="L70" s="246">
        <f t="shared" si="3"/>
        <v>0</v>
      </c>
      <c r="M70" s="123">
        <f t="shared" si="4"/>
        <v>0</v>
      </c>
    </row>
    <row r="71" spans="1:13" ht="12.75">
      <c r="A71" s="129" t="s">
        <v>96</v>
      </c>
      <c r="B71" s="123"/>
      <c r="C71" s="128"/>
      <c r="D71" s="123"/>
      <c r="E71" s="123">
        <f t="shared" si="0"/>
        <v>0</v>
      </c>
      <c r="F71" s="123">
        <f t="shared" si="1"/>
        <v>0</v>
      </c>
      <c r="G71" s="123"/>
      <c r="H71" s="128"/>
      <c r="I71" s="123"/>
      <c r="J71" s="128"/>
      <c r="K71" s="123">
        <f t="shared" si="2"/>
        <v>0</v>
      </c>
      <c r="L71" s="246">
        <f t="shared" si="3"/>
        <v>0</v>
      </c>
      <c r="M71" s="123">
        <f t="shared" si="4"/>
        <v>0</v>
      </c>
    </row>
    <row r="72" spans="1:13" ht="12.75">
      <c r="A72" s="129" t="s">
        <v>385</v>
      </c>
      <c r="B72" s="128">
        <v>2000</v>
      </c>
      <c r="C72" s="128">
        <f>84.18+317.2+91.5</f>
        <v>492.88</v>
      </c>
      <c r="D72" s="128">
        <f>84.18+317.2</f>
        <v>401.38</v>
      </c>
      <c r="E72" s="128">
        <f t="shared" si="0"/>
        <v>91.5</v>
      </c>
      <c r="F72" s="128">
        <f t="shared" si="1"/>
        <v>1507.12</v>
      </c>
      <c r="G72" s="128"/>
      <c r="H72" s="128"/>
      <c r="I72" s="128"/>
      <c r="J72" s="128"/>
      <c r="K72" s="128">
        <f t="shared" si="2"/>
        <v>0</v>
      </c>
      <c r="L72" s="151">
        <f t="shared" si="3"/>
        <v>91.5</v>
      </c>
      <c r="M72" s="128">
        <f t="shared" si="4"/>
        <v>401.38</v>
      </c>
    </row>
    <row r="73" spans="1:13" ht="12.75">
      <c r="A73" s="129" t="s">
        <v>386</v>
      </c>
      <c r="B73" s="128">
        <v>14000</v>
      </c>
      <c r="C73" s="128">
        <f>297+183+200+200+660+680+280.6+1207.8</f>
        <v>3708.3999999999996</v>
      </c>
      <c r="D73" s="128">
        <f>297+183+200+200+660+680+280.6+1207.8</f>
        <v>3708.3999999999996</v>
      </c>
      <c r="E73" s="128">
        <f t="shared" si="0"/>
        <v>0</v>
      </c>
      <c r="F73" s="128">
        <f t="shared" si="1"/>
        <v>10291.6</v>
      </c>
      <c r="G73" s="128"/>
      <c r="H73" s="128">
        <v>1530.88</v>
      </c>
      <c r="I73" s="128"/>
      <c r="J73" s="128">
        <v>1530.88</v>
      </c>
      <c r="K73" s="128">
        <f t="shared" si="2"/>
        <v>0</v>
      </c>
      <c r="L73" s="151">
        <f t="shared" si="3"/>
        <v>0</v>
      </c>
      <c r="M73" s="128">
        <f t="shared" si="4"/>
        <v>5239.28</v>
      </c>
    </row>
    <row r="74" spans="1:13" ht="12.75">
      <c r="A74" s="129" t="s">
        <v>97</v>
      </c>
      <c r="B74" s="123"/>
      <c r="C74" s="128"/>
      <c r="D74" s="123"/>
      <c r="E74" s="123">
        <f t="shared" si="0"/>
        <v>0</v>
      </c>
      <c r="F74" s="123">
        <f t="shared" si="1"/>
        <v>0</v>
      </c>
      <c r="G74" s="123"/>
      <c r="H74" s="128"/>
      <c r="I74" s="123"/>
      <c r="J74" s="128"/>
      <c r="K74" s="123">
        <f t="shared" si="2"/>
        <v>0</v>
      </c>
      <c r="L74" s="246">
        <f t="shared" si="3"/>
        <v>0</v>
      </c>
      <c r="M74" s="123">
        <f t="shared" si="4"/>
        <v>0</v>
      </c>
    </row>
    <row r="75" spans="1:13" ht="12.75">
      <c r="A75" s="129" t="s">
        <v>387</v>
      </c>
      <c r="B75" s="128">
        <v>2000</v>
      </c>
      <c r="C75" s="128"/>
      <c r="D75" s="128"/>
      <c r="E75" s="128">
        <f t="shared" si="0"/>
        <v>0</v>
      </c>
      <c r="F75" s="128">
        <f t="shared" si="1"/>
        <v>2000</v>
      </c>
      <c r="G75" s="128"/>
      <c r="H75" s="128"/>
      <c r="I75" s="128"/>
      <c r="J75" s="128"/>
      <c r="K75" s="128">
        <f t="shared" si="2"/>
        <v>0</v>
      </c>
      <c r="L75" s="151">
        <f t="shared" si="3"/>
        <v>0</v>
      </c>
      <c r="M75" s="128">
        <f t="shared" si="4"/>
        <v>0</v>
      </c>
    </row>
    <row r="76" spans="1:13" ht="12.75">
      <c r="A76" s="129" t="s">
        <v>199</v>
      </c>
      <c r="B76" s="128">
        <v>0</v>
      </c>
      <c r="C76" s="128">
        <v>0</v>
      </c>
      <c r="D76" s="128">
        <v>0</v>
      </c>
      <c r="E76" s="128">
        <f t="shared" si="0"/>
        <v>0</v>
      </c>
      <c r="F76" s="128">
        <f t="shared" si="1"/>
        <v>0</v>
      </c>
      <c r="G76" s="128"/>
      <c r="H76" s="128"/>
      <c r="I76" s="128"/>
      <c r="J76" s="128"/>
      <c r="K76" s="128">
        <f t="shared" si="2"/>
        <v>0</v>
      </c>
      <c r="L76" s="151">
        <f t="shared" si="3"/>
        <v>0</v>
      </c>
      <c r="M76" s="128">
        <f t="shared" si="4"/>
        <v>0</v>
      </c>
    </row>
    <row r="77" spans="1:13" ht="25.5">
      <c r="A77" s="129" t="s">
        <v>186</v>
      </c>
      <c r="B77" s="123">
        <v>10</v>
      </c>
      <c r="C77" s="128">
        <v>1</v>
      </c>
      <c r="D77" s="123">
        <v>1</v>
      </c>
      <c r="E77" s="123">
        <f aca="true" t="shared" si="5" ref="E77:E141">C77-D77</f>
        <v>0</v>
      </c>
      <c r="F77" s="123">
        <f aca="true" t="shared" si="6" ref="F77:F141">B77-C77</f>
        <v>9</v>
      </c>
      <c r="G77" s="123"/>
      <c r="H77" s="128"/>
      <c r="I77" s="123"/>
      <c r="J77" s="128"/>
      <c r="K77" s="123">
        <f aca="true" t="shared" si="7" ref="K77:K141">H77-J77</f>
        <v>0</v>
      </c>
      <c r="L77" s="246">
        <f aca="true" t="shared" si="8" ref="L77:L141">E77+K77</f>
        <v>0</v>
      </c>
      <c r="M77" s="123">
        <f aca="true" t="shared" si="9" ref="M77:M141">D77+J77</f>
        <v>1</v>
      </c>
    </row>
    <row r="78" spans="1:13" ht="12.75">
      <c r="A78" s="129" t="s">
        <v>187</v>
      </c>
      <c r="B78" s="128">
        <v>25480</v>
      </c>
      <c r="C78" s="128">
        <v>25396</v>
      </c>
      <c r="D78" s="128">
        <v>25396</v>
      </c>
      <c r="E78" s="128">
        <f t="shared" si="5"/>
        <v>0</v>
      </c>
      <c r="F78" s="128">
        <f t="shared" si="6"/>
        <v>84</v>
      </c>
      <c r="G78" s="128"/>
      <c r="H78" s="128"/>
      <c r="I78" s="128"/>
      <c r="J78" s="128"/>
      <c r="K78" s="128">
        <f t="shared" si="7"/>
        <v>0</v>
      </c>
      <c r="L78" s="151">
        <f t="shared" si="8"/>
        <v>0</v>
      </c>
      <c r="M78" s="128">
        <f t="shared" si="9"/>
        <v>25396</v>
      </c>
    </row>
    <row r="79" spans="1:13" ht="12.75">
      <c r="A79" s="122"/>
      <c r="B79" s="123"/>
      <c r="C79" s="123"/>
      <c r="D79" s="123"/>
      <c r="E79" s="123">
        <f t="shared" si="5"/>
        <v>0</v>
      </c>
      <c r="F79" s="123">
        <f t="shared" si="6"/>
        <v>0</v>
      </c>
      <c r="G79" s="123"/>
      <c r="H79" s="128"/>
      <c r="I79" s="123"/>
      <c r="J79" s="128"/>
      <c r="K79" s="123">
        <f t="shared" si="7"/>
        <v>0</v>
      </c>
      <c r="L79" s="246">
        <f t="shared" si="8"/>
        <v>0</v>
      </c>
      <c r="M79" s="123">
        <f t="shared" si="9"/>
        <v>0</v>
      </c>
    </row>
    <row r="80" spans="1:13" ht="12.75">
      <c r="A80" s="122"/>
      <c r="B80" s="123"/>
      <c r="C80" s="123"/>
      <c r="D80" s="123"/>
      <c r="E80" s="123">
        <f t="shared" si="5"/>
        <v>0</v>
      </c>
      <c r="F80" s="123">
        <f t="shared" si="6"/>
        <v>0</v>
      </c>
      <c r="G80" s="123"/>
      <c r="H80" s="128"/>
      <c r="I80" s="123"/>
      <c r="J80" s="128"/>
      <c r="K80" s="123">
        <f t="shared" si="7"/>
        <v>0</v>
      </c>
      <c r="L80" s="246">
        <f t="shared" si="8"/>
        <v>0</v>
      </c>
      <c r="M80" s="123">
        <f t="shared" si="9"/>
        <v>0</v>
      </c>
    </row>
    <row r="81" spans="1:13" ht="25.5">
      <c r="A81" s="130" t="s">
        <v>98</v>
      </c>
      <c r="B81" s="131">
        <f>SUM(B66:B79)</f>
        <v>68090</v>
      </c>
      <c r="C81" s="131">
        <f>SUM(C64:C80)</f>
        <v>47102.18</v>
      </c>
      <c r="D81" s="131">
        <f>SUM(D64:D80)</f>
        <v>44983.24</v>
      </c>
      <c r="E81" s="131">
        <f t="shared" si="5"/>
        <v>2118.9400000000023</v>
      </c>
      <c r="F81" s="131">
        <f t="shared" si="6"/>
        <v>20987.82</v>
      </c>
      <c r="G81" s="131">
        <f>SUM(G64:G80)</f>
        <v>0</v>
      </c>
      <c r="H81" s="131">
        <f>SUM(H64:H80)</f>
        <v>4146.48</v>
      </c>
      <c r="I81" s="131">
        <f>SUM(I64:I80)</f>
        <v>0</v>
      </c>
      <c r="J81" s="131">
        <f>SUM(J64:J80)</f>
        <v>4146.48</v>
      </c>
      <c r="K81" s="131">
        <f t="shared" si="7"/>
        <v>0</v>
      </c>
      <c r="L81" s="245">
        <f>E81+K81</f>
        <v>2118.9400000000023</v>
      </c>
      <c r="M81" s="131">
        <f>SUM(M64:M80)</f>
        <v>49129.72</v>
      </c>
    </row>
    <row r="82" spans="1:13" ht="12.75">
      <c r="A82" s="122"/>
      <c r="B82" s="123"/>
      <c r="C82" s="123"/>
      <c r="D82" s="123"/>
      <c r="E82" s="123">
        <f t="shared" si="5"/>
        <v>0</v>
      </c>
      <c r="F82" s="123">
        <f t="shared" si="6"/>
        <v>0</v>
      </c>
      <c r="G82" s="123"/>
      <c r="H82" s="128"/>
      <c r="I82" s="123"/>
      <c r="J82" s="128"/>
      <c r="K82" s="123">
        <f t="shared" si="7"/>
        <v>0</v>
      </c>
      <c r="L82" s="123">
        <f t="shared" si="8"/>
        <v>0</v>
      </c>
      <c r="M82" s="123">
        <f t="shared" si="9"/>
        <v>0</v>
      </c>
    </row>
    <row r="83" spans="1:13" ht="12.75">
      <c r="A83" s="122" t="s">
        <v>99</v>
      </c>
      <c r="B83" s="123"/>
      <c r="C83" s="123"/>
      <c r="D83" s="123"/>
      <c r="E83" s="123">
        <f t="shared" si="5"/>
        <v>0</v>
      </c>
      <c r="F83" s="123">
        <f t="shared" si="6"/>
        <v>0</v>
      </c>
      <c r="G83" s="123"/>
      <c r="H83" s="128"/>
      <c r="I83" s="123"/>
      <c r="J83" s="128"/>
      <c r="K83" s="123">
        <f t="shared" si="7"/>
        <v>0</v>
      </c>
      <c r="L83" s="123">
        <f t="shared" si="8"/>
        <v>0</v>
      </c>
      <c r="M83" s="123">
        <f t="shared" si="9"/>
        <v>0</v>
      </c>
    </row>
    <row r="84" spans="1:13" ht="25.5">
      <c r="A84" s="122" t="s">
        <v>100</v>
      </c>
      <c r="B84" s="123"/>
      <c r="C84" s="123"/>
      <c r="D84" s="123"/>
      <c r="E84" s="123">
        <f t="shared" si="5"/>
        <v>0</v>
      </c>
      <c r="F84" s="123">
        <f t="shared" si="6"/>
        <v>0</v>
      </c>
      <c r="G84" s="123"/>
      <c r="H84" s="128"/>
      <c r="I84" s="123"/>
      <c r="J84" s="128"/>
      <c r="K84" s="123">
        <f t="shared" si="7"/>
        <v>0</v>
      </c>
      <c r="L84" s="123">
        <f t="shared" si="8"/>
        <v>0</v>
      </c>
      <c r="M84" s="123">
        <f t="shared" si="9"/>
        <v>0</v>
      </c>
    </row>
    <row r="85" spans="1:13" ht="12.75">
      <c r="A85" s="122"/>
      <c r="B85" s="123"/>
      <c r="C85" s="123"/>
      <c r="D85" s="123"/>
      <c r="E85" s="123">
        <f t="shared" si="5"/>
        <v>0</v>
      </c>
      <c r="F85" s="123">
        <f t="shared" si="6"/>
        <v>0</v>
      </c>
      <c r="G85" s="123"/>
      <c r="H85" s="128"/>
      <c r="I85" s="123"/>
      <c r="J85" s="128"/>
      <c r="K85" s="123">
        <f t="shared" si="7"/>
        <v>0</v>
      </c>
      <c r="L85" s="123">
        <f t="shared" si="8"/>
        <v>0</v>
      </c>
      <c r="M85" s="123">
        <f t="shared" si="9"/>
        <v>0</v>
      </c>
    </row>
    <row r="86" spans="1:13" ht="12.75">
      <c r="A86" s="130" t="s">
        <v>101</v>
      </c>
      <c r="B86" s="131">
        <f>SUM(B84:B85)</f>
        <v>0</v>
      </c>
      <c r="C86" s="131"/>
      <c r="D86" s="131"/>
      <c r="E86" s="131">
        <f t="shared" si="5"/>
        <v>0</v>
      </c>
      <c r="F86" s="131">
        <f t="shared" si="6"/>
        <v>0</v>
      </c>
      <c r="G86" s="131"/>
      <c r="H86" s="131">
        <f>SUM(H82:H85)</f>
        <v>0</v>
      </c>
      <c r="I86" s="131">
        <f>SUM(I82:I85)</f>
        <v>0</v>
      </c>
      <c r="J86" s="131">
        <f>SUM(J82:J85)</f>
        <v>0</v>
      </c>
      <c r="K86" s="131">
        <f t="shared" si="7"/>
        <v>0</v>
      </c>
      <c r="L86" s="131">
        <f t="shared" si="8"/>
        <v>0</v>
      </c>
      <c r="M86" s="131">
        <f t="shared" si="9"/>
        <v>0</v>
      </c>
    </row>
    <row r="87" spans="1:13" ht="12.75">
      <c r="A87" s="122"/>
      <c r="B87" s="123"/>
      <c r="C87" s="123"/>
      <c r="D87" s="123"/>
      <c r="E87" s="123">
        <f t="shared" si="5"/>
        <v>0</v>
      </c>
      <c r="F87" s="123">
        <f t="shared" si="6"/>
        <v>0</v>
      </c>
      <c r="G87" s="123"/>
      <c r="H87" s="128"/>
      <c r="I87" s="123"/>
      <c r="J87" s="128"/>
      <c r="K87" s="123">
        <f t="shared" si="7"/>
        <v>0</v>
      </c>
      <c r="L87" s="123">
        <f t="shared" si="8"/>
        <v>0</v>
      </c>
      <c r="M87" s="123">
        <f t="shared" si="9"/>
        <v>0</v>
      </c>
    </row>
    <row r="88" spans="1:13" ht="12.75">
      <c r="A88" s="122" t="s">
        <v>102</v>
      </c>
      <c r="B88" s="123"/>
      <c r="C88" s="123"/>
      <c r="D88" s="123"/>
      <c r="E88" s="123">
        <f t="shared" si="5"/>
        <v>0</v>
      </c>
      <c r="F88" s="123">
        <f t="shared" si="6"/>
        <v>0</v>
      </c>
      <c r="G88" s="123"/>
      <c r="H88" s="128"/>
      <c r="I88" s="123"/>
      <c r="J88" s="128"/>
      <c r="K88" s="123">
        <f t="shared" si="7"/>
        <v>0</v>
      </c>
      <c r="L88" s="123">
        <f t="shared" si="8"/>
        <v>0</v>
      </c>
      <c r="M88" s="123">
        <f t="shared" si="9"/>
        <v>0</v>
      </c>
    </row>
    <row r="89" spans="1:13" ht="12.75">
      <c r="A89" s="129" t="s">
        <v>103</v>
      </c>
      <c r="B89" s="128">
        <v>400</v>
      </c>
      <c r="C89" s="128">
        <f>104+(15*12)</f>
        <v>284</v>
      </c>
      <c r="D89" s="128">
        <f>104+(15*12)</f>
        <v>284</v>
      </c>
      <c r="E89" s="128">
        <f t="shared" si="5"/>
        <v>0</v>
      </c>
      <c r="F89" s="128">
        <f t="shared" si="6"/>
        <v>116</v>
      </c>
      <c r="G89" s="128"/>
      <c r="H89" s="128">
        <v>2</v>
      </c>
      <c r="I89" s="128"/>
      <c r="J89" s="128">
        <v>2</v>
      </c>
      <c r="K89" s="128">
        <f t="shared" si="7"/>
        <v>0</v>
      </c>
      <c r="L89" s="151">
        <f t="shared" si="8"/>
        <v>0</v>
      </c>
      <c r="M89" s="128">
        <f t="shared" si="9"/>
        <v>286</v>
      </c>
    </row>
    <row r="90" spans="1:13" ht="12.75">
      <c r="A90" s="122" t="s">
        <v>104</v>
      </c>
      <c r="B90" s="123"/>
      <c r="C90" s="123"/>
      <c r="D90" s="123"/>
      <c r="E90" s="123">
        <f t="shared" si="5"/>
        <v>0</v>
      </c>
      <c r="F90" s="123">
        <f t="shared" si="6"/>
        <v>0</v>
      </c>
      <c r="G90" s="123"/>
      <c r="H90" s="128"/>
      <c r="I90" s="123"/>
      <c r="J90" s="128"/>
      <c r="K90" s="123">
        <f t="shared" si="7"/>
        <v>0</v>
      </c>
      <c r="L90" s="123">
        <f t="shared" si="8"/>
        <v>0</v>
      </c>
      <c r="M90" s="123">
        <f t="shared" si="9"/>
        <v>0</v>
      </c>
    </row>
    <row r="91" spans="1:13" ht="12.75">
      <c r="A91" s="122"/>
      <c r="B91" s="123"/>
      <c r="C91" s="123"/>
      <c r="D91" s="123"/>
      <c r="E91" s="123">
        <f t="shared" si="5"/>
        <v>0</v>
      </c>
      <c r="F91" s="123">
        <f t="shared" si="6"/>
        <v>0</v>
      </c>
      <c r="G91" s="123"/>
      <c r="H91" s="128"/>
      <c r="I91" s="123"/>
      <c r="J91" s="128"/>
      <c r="K91" s="123">
        <f t="shared" si="7"/>
        <v>0</v>
      </c>
      <c r="L91" s="123">
        <f t="shared" si="8"/>
        <v>0</v>
      </c>
      <c r="M91" s="123">
        <f t="shared" si="9"/>
        <v>0</v>
      </c>
    </row>
    <row r="92" spans="1:13" ht="12.75">
      <c r="A92" s="130" t="s">
        <v>105</v>
      </c>
      <c r="B92" s="131">
        <f>SUM(B89:B91)</f>
        <v>400</v>
      </c>
      <c r="C92" s="131">
        <f>SUM(C89:C91)</f>
        <v>284</v>
      </c>
      <c r="D92" s="131">
        <f>SUM(D89:D91)</f>
        <v>284</v>
      </c>
      <c r="E92" s="131">
        <f t="shared" si="5"/>
        <v>0</v>
      </c>
      <c r="F92" s="131">
        <f t="shared" si="6"/>
        <v>116</v>
      </c>
      <c r="G92" s="131"/>
      <c r="H92" s="131">
        <f>SUM(H88:H91)</f>
        <v>2</v>
      </c>
      <c r="I92" s="131">
        <f>SUM(I88:I91)</f>
        <v>0</v>
      </c>
      <c r="J92" s="131">
        <f>SUM(J88:J91)</f>
        <v>2</v>
      </c>
      <c r="K92" s="131">
        <f t="shared" si="7"/>
        <v>0</v>
      </c>
      <c r="L92" s="131">
        <f>SUM(L87:L91)</f>
        <v>0</v>
      </c>
      <c r="M92" s="131">
        <f>SUM(M87:M91)</f>
        <v>286</v>
      </c>
    </row>
    <row r="93" spans="1:13" ht="12.75">
      <c r="A93" s="122"/>
      <c r="B93" s="123"/>
      <c r="C93" s="123"/>
      <c r="D93" s="123"/>
      <c r="E93" s="123">
        <f t="shared" si="5"/>
        <v>0</v>
      </c>
      <c r="F93" s="123">
        <f t="shared" si="6"/>
        <v>0</v>
      </c>
      <c r="G93" s="123"/>
      <c r="H93" s="128"/>
      <c r="I93" s="123"/>
      <c r="J93" s="128"/>
      <c r="K93" s="123">
        <f t="shared" si="7"/>
        <v>0</v>
      </c>
      <c r="L93" s="123">
        <f t="shared" si="8"/>
        <v>0</v>
      </c>
      <c r="M93" s="123">
        <f t="shared" si="9"/>
        <v>0</v>
      </c>
    </row>
    <row r="94" spans="1:13" ht="12.75">
      <c r="A94" s="122" t="s">
        <v>106</v>
      </c>
      <c r="B94" s="123"/>
      <c r="C94" s="123"/>
      <c r="D94" s="123"/>
      <c r="E94" s="123">
        <f t="shared" si="5"/>
        <v>0</v>
      </c>
      <c r="F94" s="123">
        <f t="shared" si="6"/>
        <v>0</v>
      </c>
      <c r="G94" s="123"/>
      <c r="H94" s="128"/>
      <c r="I94" s="123"/>
      <c r="J94" s="128"/>
      <c r="K94" s="123">
        <f t="shared" si="7"/>
        <v>0</v>
      </c>
      <c r="L94" s="123">
        <f t="shared" si="8"/>
        <v>0</v>
      </c>
      <c r="M94" s="123">
        <f t="shared" si="9"/>
        <v>0</v>
      </c>
    </row>
    <row r="95" spans="1:13" ht="12.75">
      <c r="A95" s="129" t="s">
        <v>107</v>
      </c>
      <c r="B95" s="128">
        <v>840</v>
      </c>
      <c r="C95" s="128">
        <f>217.05+76.24+322</f>
        <v>615.29</v>
      </c>
      <c r="D95" s="128">
        <f>217.05+76.24+322-2</f>
        <v>613.29</v>
      </c>
      <c r="E95" s="128">
        <f t="shared" si="5"/>
        <v>2</v>
      </c>
      <c r="F95" s="150">
        <f t="shared" si="6"/>
        <v>224.71000000000004</v>
      </c>
      <c r="G95" s="128">
        <f>F95</f>
        <v>224.71000000000004</v>
      </c>
      <c r="H95" s="128"/>
      <c r="I95" s="128"/>
      <c r="J95" s="128"/>
      <c r="K95" s="128">
        <f t="shared" si="7"/>
        <v>0</v>
      </c>
      <c r="L95" s="128">
        <f t="shared" si="8"/>
        <v>2</v>
      </c>
      <c r="M95" s="128">
        <f t="shared" si="9"/>
        <v>613.29</v>
      </c>
    </row>
    <row r="96" spans="1:13" ht="12.75">
      <c r="A96" s="129" t="s">
        <v>388</v>
      </c>
      <c r="B96" s="128">
        <v>1250</v>
      </c>
      <c r="C96" s="128">
        <v>913.2</v>
      </c>
      <c r="D96" s="128">
        <v>0</v>
      </c>
      <c r="E96" s="128">
        <f t="shared" si="5"/>
        <v>913.2</v>
      </c>
      <c r="F96" s="150">
        <f t="shared" si="6"/>
        <v>336.79999999999995</v>
      </c>
      <c r="G96" s="128">
        <f>F96</f>
        <v>336.79999999999995</v>
      </c>
      <c r="H96" s="128">
        <v>1048</v>
      </c>
      <c r="I96" s="128">
        <v>-21</v>
      </c>
      <c r="J96" s="128">
        <v>1027</v>
      </c>
      <c r="K96" s="128">
        <v>0</v>
      </c>
      <c r="L96" s="151">
        <f t="shared" si="8"/>
        <v>913.2</v>
      </c>
      <c r="M96" s="128">
        <f t="shared" si="9"/>
        <v>1027</v>
      </c>
    </row>
    <row r="97" spans="1:13" ht="12.75">
      <c r="A97" s="129" t="s">
        <v>191</v>
      </c>
      <c r="B97" s="128">
        <v>2300</v>
      </c>
      <c r="C97" s="128">
        <v>2073.59</v>
      </c>
      <c r="D97" s="128">
        <f>2073.59-279.49</f>
        <v>1794.1000000000001</v>
      </c>
      <c r="E97" s="128">
        <f t="shared" si="5"/>
        <v>279.49</v>
      </c>
      <c r="F97" s="150">
        <f t="shared" si="6"/>
        <v>226.40999999999985</v>
      </c>
      <c r="G97" s="128">
        <f>F97</f>
        <v>226.40999999999985</v>
      </c>
      <c r="H97" s="128">
        <v>320.13</v>
      </c>
      <c r="I97" s="128">
        <v>0</v>
      </c>
      <c r="J97" s="128">
        <v>320.13</v>
      </c>
      <c r="K97" s="128">
        <f t="shared" si="7"/>
        <v>0</v>
      </c>
      <c r="L97" s="151">
        <f t="shared" si="8"/>
        <v>279.49</v>
      </c>
      <c r="M97" s="128">
        <f t="shared" si="9"/>
        <v>2114.23</v>
      </c>
    </row>
    <row r="98" spans="1:13" ht="12.75">
      <c r="A98" s="130" t="s">
        <v>108</v>
      </c>
      <c r="B98" s="131">
        <f>SUM(B95:B97)</f>
        <v>4390</v>
      </c>
      <c r="C98" s="131">
        <f>SUM(C95:C97)</f>
        <v>3602.08</v>
      </c>
      <c r="D98" s="131">
        <f>SUM(D95:D97)</f>
        <v>2407.3900000000003</v>
      </c>
      <c r="E98" s="131">
        <f t="shared" si="5"/>
        <v>1194.6899999999996</v>
      </c>
      <c r="F98" s="239">
        <f t="shared" si="6"/>
        <v>787.9200000000001</v>
      </c>
      <c r="G98" s="131">
        <f>SUM(G93:G97)</f>
        <v>787.9199999999998</v>
      </c>
      <c r="H98" s="131">
        <f>SUM(H96:H97)</f>
        <v>1368.13</v>
      </c>
      <c r="I98" s="131">
        <f>SUM(I96:I97)</f>
        <v>-21</v>
      </c>
      <c r="J98" s="131">
        <f>SUM(J96:J97)</f>
        <v>1347.13</v>
      </c>
      <c r="K98" s="131">
        <f>H98+I98-J98</f>
        <v>0</v>
      </c>
      <c r="L98" s="131">
        <f>SUM(L93:L97)</f>
        <v>1194.69</v>
      </c>
      <c r="M98" s="131">
        <f>SUM(M93:M97)</f>
        <v>3754.52</v>
      </c>
    </row>
    <row r="99" spans="1:13" ht="12.75">
      <c r="A99" s="122"/>
      <c r="B99" s="123"/>
      <c r="C99" s="123"/>
      <c r="D99" s="123"/>
      <c r="E99" s="123">
        <f t="shared" si="5"/>
        <v>0</v>
      </c>
      <c r="F99" s="123">
        <f t="shared" si="6"/>
        <v>0</v>
      </c>
      <c r="G99" s="123"/>
      <c r="H99" s="128"/>
      <c r="I99" s="123"/>
      <c r="J99" s="128"/>
      <c r="K99" s="123">
        <f t="shared" si="7"/>
        <v>0</v>
      </c>
      <c r="L99" s="123">
        <f t="shared" si="8"/>
        <v>0</v>
      </c>
      <c r="M99" s="123">
        <f t="shared" si="9"/>
        <v>0</v>
      </c>
    </row>
    <row r="100" spans="1:13" ht="25.5">
      <c r="A100" s="122" t="s">
        <v>109</v>
      </c>
      <c r="B100" s="123"/>
      <c r="C100" s="123"/>
      <c r="D100" s="123"/>
      <c r="E100" s="123">
        <f t="shared" si="5"/>
        <v>0</v>
      </c>
      <c r="F100" s="123">
        <f t="shared" si="6"/>
        <v>0</v>
      </c>
      <c r="G100" s="123"/>
      <c r="H100" s="128"/>
      <c r="I100" s="123"/>
      <c r="J100" s="128"/>
      <c r="K100" s="123">
        <f t="shared" si="7"/>
        <v>0</v>
      </c>
      <c r="L100" s="123">
        <f t="shared" si="8"/>
        <v>0</v>
      </c>
      <c r="M100" s="123">
        <f t="shared" si="9"/>
        <v>0</v>
      </c>
    </row>
    <row r="101" spans="1:13" ht="12.75">
      <c r="A101" s="122" t="s">
        <v>110</v>
      </c>
      <c r="B101" s="123"/>
      <c r="C101" s="123"/>
      <c r="D101" s="123"/>
      <c r="E101" s="123">
        <f t="shared" si="5"/>
        <v>0</v>
      </c>
      <c r="F101" s="123">
        <f t="shared" si="6"/>
        <v>0</v>
      </c>
      <c r="G101" s="123"/>
      <c r="H101" s="128"/>
      <c r="I101" s="123"/>
      <c r="J101" s="128"/>
      <c r="K101" s="123">
        <f t="shared" si="7"/>
        <v>0</v>
      </c>
      <c r="L101" s="123">
        <f t="shared" si="8"/>
        <v>0</v>
      </c>
      <c r="M101" s="123">
        <f t="shared" si="9"/>
        <v>0</v>
      </c>
    </row>
    <row r="102" spans="1:13" ht="12.75">
      <c r="A102" s="122" t="s">
        <v>192</v>
      </c>
      <c r="B102" s="123">
        <v>1500</v>
      </c>
      <c r="C102" s="128">
        <f>0.34+13.5+56.27+269.3+1043.48</f>
        <v>1382.89</v>
      </c>
      <c r="D102" s="123">
        <f>0.34+13.5+56.27+269.3+1043.86</f>
        <v>1383.27</v>
      </c>
      <c r="E102" s="123">
        <v>0</v>
      </c>
      <c r="F102" s="133">
        <f t="shared" si="6"/>
        <v>117.1099999999999</v>
      </c>
      <c r="G102" s="123"/>
      <c r="H102" s="128"/>
      <c r="I102" s="123"/>
      <c r="J102" s="128"/>
      <c r="K102" s="123">
        <f t="shared" si="7"/>
        <v>0</v>
      </c>
      <c r="L102" s="123">
        <f t="shared" si="8"/>
        <v>0</v>
      </c>
      <c r="M102" s="123">
        <f t="shared" si="9"/>
        <v>1383.27</v>
      </c>
    </row>
    <row r="103" spans="1:13" ht="25.5">
      <c r="A103" s="130" t="s">
        <v>111</v>
      </c>
      <c r="B103" s="131">
        <f>SUM(B101:B102)</f>
        <v>1500</v>
      </c>
      <c r="C103" s="131">
        <f>SUM(C101:C102)</f>
        <v>1382.89</v>
      </c>
      <c r="D103" s="131">
        <f>SUM(D101:D102)</f>
        <v>1383.27</v>
      </c>
      <c r="E103" s="131">
        <v>0</v>
      </c>
      <c r="F103" s="131">
        <f t="shared" si="6"/>
        <v>117.1099999999999</v>
      </c>
      <c r="G103" s="131">
        <f>SUM(G102)</f>
        <v>0</v>
      </c>
      <c r="H103" s="131">
        <f>SUM(H99:H102)</f>
        <v>0</v>
      </c>
      <c r="I103" s="131">
        <f>SUM(I99:I102)</f>
        <v>0</v>
      </c>
      <c r="J103" s="131">
        <f>SUM(J99:J102)</f>
        <v>0</v>
      </c>
      <c r="K103" s="131">
        <f t="shared" si="7"/>
        <v>0</v>
      </c>
      <c r="L103" s="131">
        <f>SUM(L99:L102)</f>
        <v>0</v>
      </c>
      <c r="M103" s="131">
        <f>SUM(M99:M102)</f>
        <v>1383.27</v>
      </c>
    </row>
    <row r="104" spans="1:13" ht="12.75">
      <c r="A104" s="134"/>
      <c r="B104" s="123"/>
      <c r="C104" s="123"/>
      <c r="D104" s="123"/>
      <c r="E104" s="123">
        <f t="shared" si="5"/>
        <v>0</v>
      </c>
      <c r="F104" s="123">
        <f t="shared" si="6"/>
        <v>0</v>
      </c>
      <c r="G104" s="123"/>
      <c r="H104" s="128"/>
      <c r="I104" s="123"/>
      <c r="J104" s="128"/>
      <c r="K104" s="123">
        <f t="shared" si="7"/>
        <v>0</v>
      </c>
      <c r="L104" s="123">
        <f t="shared" si="8"/>
        <v>0</v>
      </c>
      <c r="M104" s="123">
        <f t="shared" si="9"/>
        <v>0</v>
      </c>
    </row>
    <row r="105" spans="1:13" ht="12.75">
      <c r="A105" s="122" t="s">
        <v>112</v>
      </c>
      <c r="B105" s="123"/>
      <c r="C105" s="123"/>
      <c r="D105" s="123"/>
      <c r="E105" s="123">
        <f t="shared" si="5"/>
        <v>0</v>
      </c>
      <c r="F105" s="123">
        <f t="shared" si="6"/>
        <v>0</v>
      </c>
      <c r="G105" s="123"/>
      <c r="H105" s="128"/>
      <c r="I105" s="123"/>
      <c r="J105" s="128"/>
      <c r="K105" s="123">
        <f t="shared" si="7"/>
        <v>0</v>
      </c>
      <c r="L105" s="123">
        <f t="shared" si="8"/>
        <v>0</v>
      </c>
      <c r="M105" s="123">
        <f t="shared" si="9"/>
        <v>0</v>
      </c>
    </row>
    <row r="106" spans="1:13" ht="25.5">
      <c r="A106" s="122" t="s">
        <v>206</v>
      </c>
      <c r="B106" s="123">
        <v>5000</v>
      </c>
      <c r="C106" s="123"/>
      <c r="D106" s="123"/>
      <c r="E106" s="123">
        <f t="shared" si="5"/>
        <v>0</v>
      </c>
      <c r="F106" s="123">
        <f t="shared" si="6"/>
        <v>5000</v>
      </c>
      <c r="G106" s="123"/>
      <c r="H106" s="128"/>
      <c r="I106" s="123"/>
      <c r="J106" s="128"/>
      <c r="K106" s="123">
        <f t="shared" si="7"/>
        <v>0</v>
      </c>
      <c r="L106" s="123">
        <f t="shared" si="8"/>
        <v>0</v>
      </c>
      <c r="M106" s="123">
        <f t="shared" si="9"/>
        <v>0</v>
      </c>
    </row>
    <row r="107" spans="1:13" ht="12.75">
      <c r="A107" s="122"/>
      <c r="B107" s="123"/>
      <c r="C107" s="123"/>
      <c r="D107" s="123"/>
      <c r="E107" s="123">
        <f t="shared" si="5"/>
        <v>0</v>
      </c>
      <c r="F107" s="123">
        <f t="shared" si="6"/>
        <v>0</v>
      </c>
      <c r="G107" s="123"/>
      <c r="H107" s="128"/>
      <c r="I107" s="123"/>
      <c r="J107" s="128"/>
      <c r="K107" s="123">
        <f t="shared" si="7"/>
        <v>0</v>
      </c>
      <c r="L107" s="123">
        <f t="shared" si="8"/>
        <v>0</v>
      </c>
      <c r="M107" s="123">
        <f t="shared" si="9"/>
        <v>0</v>
      </c>
    </row>
    <row r="108" spans="1:13" ht="25.5">
      <c r="A108" s="130" t="s">
        <v>113</v>
      </c>
      <c r="B108" s="131">
        <f>SUM(B106:B107)</f>
        <v>5000</v>
      </c>
      <c r="C108" s="131">
        <f>SUM(C106:C107)</f>
        <v>0</v>
      </c>
      <c r="D108" s="131">
        <f>SUM(D104:D107)</f>
        <v>0</v>
      </c>
      <c r="E108" s="131">
        <f t="shared" si="5"/>
        <v>0</v>
      </c>
      <c r="F108" s="131">
        <f t="shared" si="6"/>
        <v>5000</v>
      </c>
      <c r="G108" s="131"/>
      <c r="H108" s="131">
        <f>SUM(H105:H107)</f>
        <v>0</v>
      </c>
      <c r="I108" s="131">
        <f>SUM(I105:I107)</f>
        <v>0</v>
      </c>
      <c r="J108" s="131">
        <f>SUM(J105:J107)</f>
        <v>0</v>
      </c>
      <c r="K108" s="131">
        <f t="shared" si="7"/>
        <v>0</v>
      </c>
      <c r="L108" s="131">
        <f t="shared" si="8"/>
        <v>0</v>
      </c>
      <c r="M108" s="131">
        <f t="shared" si="9"/>
        <v>0</v>
      </c>
    </row>
    <row r="109" spans="1:13" ht="12.75">
      <c r="A109" s="134"/>
      <c r="B109" s="123"/>
      <c r="C109" s="123"/>
      <c r="D109" s="123"/>
      <c r="E109" s="123">
        <f t="shared" si="5"/>
        <v>0</v>
      </c>
      <c r="F109" s="123">
        <f t="shared" si="6"/>
        <v>0</v>
      </c>
      <c r="G109" s="123"/>
      <c r="H109" s="128"/>
      <c r="I109" s="123"/>
      <c r="J109" s="128"/>
      <c r="K109" s="123">
        <f t="shared" si="7"/>
        <v>0</v>
      </c>
      <c r="L109" s="123">
        <f t="shared" si="8"/>
        <v>0</v>
      </c>
      <c r="M109" s="123">
        <f t="shared" si="9"/>
        <v>0</v>
      </c>
    </row>
    <row r="110" spans="1:13" ht="25.5">
      <c r="A110" s="135" t="s">
        <v>114</v>
      </c>
      <c r="B110" s="123"/>
      <c r="C110" s="123"/>
      <c r="D110" s="123"/>
      <c r="E110" s="123">
        <f t="shared" si="5"/>
        <v>0</v>
      </c>
      <c r="F110" s="123">
        <f t="shared" si="6"/>
        <v>0</v>
      </c>
      <c r="G110" s="123"/>
      <c r="H110" s="128"/>
      <c r="I110" s="123"/>
      <c r="J110" s="128"/>
      <c r="K110" s="123">
        <f t="shared" si="7"/>
        <v>0</v>
      </c>
      <c r="L110" s="123">
        <f t="shared" si="8"/>
        <v>0</v>
      </c>
      <c r="M110" s="123">
        <f t="shared" si="9"/>
        <v>0</v>
      </c>
    </row>
    <row r="111" spans="1:13" ht="25.5">
      <c r="A111" s="148" t="s">
        <v>115</v>
      </c>
      <c r="B111" s="128">
        <v>1800</v>
      </c>
      <c r="C111" s="128">
        <f>1931.16+20.78</f>
        <v>1951.94</v>
      </c>
      <c r="D111" s="128">
        <f>57.49+20.78</f>
        <v>78.27000000000001</v>
      </c>
      <c r="E111" s="128">
        <f t="shared" si="5"/>
        <v>1873.67</v>
      </c>
      <c r="F111" s="152">
        <f t="shared" si="6"/>
        <v>-151.94000000000005</v>
      </c>
      <c r="G111" s="128"/>
      <c r="H111" s="128">
        <v>25641.19</v>
      </c>
      <c r="I111" s="128">
        <v>0</v>
      </c>
      <c r="J111" s="128">
        <v>0</v>
      </c>
      <c r="K111" s="128">
        <f t="shared" si="7"/>
        <v>25641.19</v>
      </c>
      <c r="L111" s="128">
        <f t="shared" si="8"/>
        <v>27514.86</v>
      </c>
      <c r="M111" s="149">
        <f t="shared" si="9"/>
        <v>78.27000000000001</v>
      </c>
    </row>
    <row r="112" spans="1:13" ht="12.75">
      <c r="A112" s="135"/>
      <c r="B112" s="123"/>
      <c r="C112" s="123"/>
      <c r="D112" s="123"/>
      <c r="E112" s="123">
        <f t="shared" si="5"/>
        <v>0</v>
      </c>
      <c r="F112" s="123">
        <f t="shared" si="6"/>
        <v>0</v>
      </c>
      <c r="G112" s="123"/>
      <c r="H112" s="128"/>
      <c r="I112" s="123"/>
      <c r="J112" s="128"/>
      <c r="K112" s="123">
        <f t="shared" si="7"/>
        <v>0</v>
      </c>
      <c r="L112" s="123">
        <f t="shared" si="8"/>
        <v>0</v>
      </c>
      <c r="M112" s="123">
        <f t="shared" si="9"/>
        <v>0</v>
      </c>
    </row>
    <row r="113" spans="1:13" ht="25.5">
      <c r="A113" s="130" t="s">
        <v>116</v>
      </c>
      <c r="B113" s="131">
        <f>SUM(B111:B112)</f>
        <v>1800</v>
      </c>
      <c r="C113" s="131">
        <f>SUM(C111:C112)</f>
        <v>1951.94</v>
      </c>
      <c r="D113" s="131">
        <f>SUM(D109:D112)</f>
        <v>78.27000000000001</v>
      </c>
      <c r="E113" s="131">
        <f t="shared" si="5"/>
        <v>1873.67</v>
      </c>
      <c r="F113" s="131">
        <f t="shared" si="6"/>
        <v>-151.94000000000005</v>
      </c>
      <c r="G113" s="131"/>
      <c r="H113" s="131">
        <f>SUM(H110:H112)</f>
        <v>25641.19</v>
      </c>
      <c r="I113" s="131">
        <f>SUM(I110:I112)</f>
        <v>0</v>
      </c>
      <c r="J113" s="131">
        <f>SUM(J110:J112)</f>
        <v>0</v>
      </c>
      <c r="K113" s="131">
        <f>SUM(K109:K112)</f>
        <v>25641.19</v>
      </c>
      <c r="L113" s="131">
        <f t="shared" si="8"/>
        <v>27514.86</v>
      </c>
      <c r="M113" s="131">
        <f>SUM(M109:M112)</f>
        <v>78.27000000000001</v>
      </c>
    </row>
    <row r="114" spans="1:13" ht="12.75">
      <c r="A114" s="135"/>
      <c r="B114" s="123"/>
      <c r="C114" s="123"/>
      <c r="D114" s="123"/>
      <c r="E114" s="123">
        <f t="shared" si="5"/>
        <v>0</v>
      </c>
      <c r="F114" s="123">
        <f t="shared" si="6"/>
        <v>0</v>
      </c>
      <c r="G114" s="123"/>
      <c r="H114" s="128"/>
      <c r="I114" s="123"/>
      <c r="J114" s="128"/>
      <c r="K114" s="123">
        <f t="shared" si="7"/>
        <v>0</v>
      </c>
      <c r="L114" s="123">
        <f t="shared" si="8"/>
        <v>0</v>
      </c>
      <c r="M114" s="123">
        <f t="shared" si="9"/>
        <v>0</v>
      </c>
    </row>
    <row r="115" spans="1:13" ht="25.5">
      <c r="A115" s="135" t="s">
        <v>117</v>
      </c>
      <c r="B115" s="123"/>
      <c r="C115" s="123"/>
      <c r="D115" s="123"/>
      <c r="E115" s="123">
        <f t="shared" si="5"/>
        <v>0</v>
      </c>
      <c r="F115" s="123">
        <f t="shared" si="6"/>
        <v>0</v>
      </c>
      <c r="G115" s="123"/>
      <c r="H115" s="128"/>
      <c r="I115" s="123"/>
      <c r="J115" s="128"/>
      <c r="K115" s="123">
        <f t="shared" si="7"/>
        <v>0</v>
      </c>
      <c r="L115" s="123">
        <f t="shared" si="8"/>
        <v>0</v>
      </c>
      <c r="M115" s="123">
        <f t="shared" si="9"/>
        <v>0</v>
      </c>
    </row>
    <row r="116" spans="1:13" ht="25.5">
      <c r="A116" s="135" t="s">
        <v>118</v>
      </c>
      <c r="B116" s="123"/>
      <c r="C116" s="123"/>
      <c r="D116" s="123"/>
      <c r="E116" s="123">
        <f t="shared" si="5"/>
        <v>0</v>
      </c>
      <c r="F116" s="123">
        <f t="shared" si="6"/>
        <v>0</v>
      </c>
      <c r="G116" s="123"/>
      <c r="H116" s="128"/>
      <c r="I116" s="123"/>
      <c r="J116" s="128"/>
      <c r="K116" s="123">
        <f t="shared" si="7"/>
        <v>0</v>
      </c>
      <c r="L116" s="123">
        <f t="shared" si="8"/>
        <v>0</v>
      </c>
      <c r="M116" s="123">
        <f t="shared" si="9"/>
        <v>0</v>
      </c>
    </row>
    <row r="117" spans="1:13" ht="25.5">
      <c r="A117" s="148" t="s">
        <v>189</v>
      </c>
      <c r="B117" s="128"/>
      <c r="C117" s="128"/>
      <c r="D117" s="128"/>
      <c r="E117" s="128">
        <f t="shared" si="5"/>
        <v>0</v>
      </c>
      <c r="F117" s="128">
        <f t="shared" si="6"/>
        <v>0</v>
      </c>
      <c r="G117" s="128"/>
      <c r="H117" s="128">
        <v>52012.22</v>
      </c>
      <c r="I117" s="128"/>
      <c r="J117" s="128"/>
      <c r="K117" s="128">
        <f t="shared" si="7"/>
        <v>52012.22</v>
      </c>
      <c r="L117" s="128">
        <f t="shared" si="8"/>
        <v>52012.22</v>
      </c>
      <c r="M117" s="128">
        <f t="shared" si="9"/>
        <v>0</v>
      </c>
    </row>
    <row r="118" spans="1:13" ht="25.5">
      <c r="A118" s="130" t="s">
        <v>119</v>
      </c>
      <c r="B118" s="131">
        <f>SUM(B115:B117)</f>
        <v>0</v>
      </c>
      <c r="C118" s="131">
        <f>SUM(C117)</f>
        <v>0</v>
      </c>
      <c r="D118" s="131">
        <f>SUM(D117)</f>
        <v>0</v>
      </c>
      <c r="E118" s="131">
        <f t="shared" si="5"/>
        <v>0</v>
      </c>
      <c r="F118" s="131">
        <f t="shared" si="6"/>
        <v>0</v>
      </c>
      <c r="G118" s="131"/>
      <c r="H118" s="131">
        <f>SUM(H114:H117)</f>
        <v>52012.22</v>
      </c>
      <c r="I118" s="131">
        <f>SUM(I114:I117)</f>
        <v>0</v>
      </c>
      <c r="J118" s="131">
        <f>SUM(J114:J117)</f>
        <v>0</v>
      </c>
      <c r="K118" s="131">
        <f t="shared" si="7"/>
        <v>52012.22</v>
      </c>
      <c r="L118" s="131">
        <f>SUM(L114:L117)</f>
        <v>52012.22</v>
      </c>
      <c r="M118" s="131">
        <f>SUM(M114:M117)</f>
        <v>0</v>
      </c>
    </row>
    <row r="119" spans="1:13" ht="12.75">
      <c r="A119" s="135"/>
      <c r="B119" s="123"/>
      <c r="C119" s="123"/>
      <c r="D119" s="123"/>
      <c r="E119" s="123">
        <f t="shared" si="5"/>
        <v>0</v>
      </c>
      <c r="F119" s="123">
        <f t="shared" si="6"/>
        <v>0</v>
      </c>
      <c r="G119" s="123"/>
      <c r="H119" s="128"/>
      <c r="I119" s="123"/>
      <c r="J119" s="128"/>
      <c r="K119" s="123">
        <f t="shared" si="7"/>
        <v>0</v>
      </c>
      <c r="L119" s="123">
        <f t="shared" si="8"/>
        <v>0</v>
      </c>
      <c r="M119" s="123">
        <f t="shared" si="9"/>
        <v>0</v>
      </c>
    </row>
    <row r="120" spans="1:13" ht="26.25" customHeight="1">
      <c r="A120" s="136" t="s">
        <v>120</v>
      </c>
      <c r="B120" s="123">
        <f>SUM(B118+B113+B108+B103+B98+B92+B86+B81+B63+B44+B26+B17)</f>
        <v>189590</v>
      </c>
      <c r="C120" s="123">
        <f>SUM(C118+C113+C108+C103+C98+C92+C86+C81+C63+C44+C26+C17)</f>
        <v>136107.37</v>
      </c>
      <c r="D120" s="123">
        <f>SUM(D118+D113+D108+D103+D98+D92+D86+D81+D63+D44+D26+D17)</f>
        <v>119601.44</v>
      </c>
      <c r="E120" s="123">
        <f>SUM(E118+E113+E108+E103+E98+E92+E86+E81+E63+E44+E26+E17)</f>
        <v>16506.309999999998</v>
      </c>
      <c r="F120" s="123">
        <f t="shared" si="6"/>
        <v>53482.630000000005</v>
      </c>
      <c r="G120" s="123"/>
      <c r="H120" s="128">
        <f>H118+H113+H108+H103+H98+H92+H86+H81+H63+H44+H26+H17</f>
        <v>88448.59000000001</v>
      </c>
      <c r="I120" s="123">
        <f>I118+I113+I108+I103+I98+I92+I86+I81+I63+I44+I26+I17</f>
        <v>-21</v>
      </c>
      <c r="J120" s="128">
        <f>J118+J113+J108+J103+J98+J92+J86+J81+J63+J44+J26+J17</f>
        <v>10774.179999999998</v>
      </c>
      <c r="K120" s="123">
        <f t="shared" si="7"/>
        <v>77674.41000000002</v>
      </c>
      <c r="L120" s="123">
        <f t="shared" si="8"/>
        <v>94180.72000000002</v>
      </c>
      <c r="M120" s="123">
        <f t="shared" si="9"/>
        <v>130375.62</v>
      </c>
    </row>
    <row r="121" spans="1:13" ht="12.75">
      <c r="A121" s="135"/>
      <c r="B121" s="123"/>
      <c r="C121" s="123"/>
      <c r="D121" s="123"/>
      <c r="E121" s="123">
        <f t="shared" si="5"/>
        <v>0</v>
      </c>
      <c r="F121" s="123">
        <f t="shared" si="6"/>
        <v>0</v>
      </c>
      <c r="G121" s="123"/>
      <c r="H121" s="128"/>
      <c r="I121" s="123"/>
      <c r="J121" s="128"/>
      <c r="K121" s="123">
        <f t="shared" si="7"/>
        <v>0</v>
      </c>
      <c r="L121" s="123">
        <f t="shared" si="8"/>
        <v>0</v>
      </c>
      <c r="M121" s="123">
        <f t="shared" si="9"/>
        <v>0</v>
      </c>
    </row>
    <row r="122" spans="1:13" ht="12.75">
      <c r="A122" s="134"/>
      <c r="B122" s="123"/>
      <c r="C122" s="123"/>
      <c r="D122" s="123"/>
      <c r="E122" s="123">
        <f t="shared" si="5"/>
        <v>0</v>
      </c>
      <c r="F122" s="123">
        <f t="shared" si="6"/>
        <v>0</v>
      </c>
      <c r="G122" s="123"/>
      <c r="H122" s="128"/>
      <c r="I122" s="123"/>
      <c r="J122" s="128"/>
      <c r="K122" s="123">
        <f t="shared" si="7"/>
        <v>0</v>
      </c>
      <c r="L122" s="123">
        <f t="shared" si="8"/>
        <v>0</v>
      </c>
      <c r="M122" s="123">
        <f t="shared" si="9"/>
        <v>0</v>
      </c>
    </row>
    <row r="123" spans="1:13" ht="12.75">
      <c r="A123" s="134" t="s">
        <v>122</v>
      </c>
      <c r="B123" s="123"/>
      <c r="C123" s="123"/>
      <c r="D123" s="123"/>
      <c r="E123" s="123">
        <f t="shared" si="5"/>
        <v>0</v>
      </c>
      <c r="F123" s="123">
        <f t="shared" si="6"/>
        <v>0</v>
      </c>
      <c r="G123" s="123"/>
      <c r="H123" s="128"/>
      <c r="I123" s="123"/>
      <c r="J123" s="128"/>
      <c r="K123" s="123">
        <f t="shared" si="7"/>
        <v>0</v>
      </c>
      <c r="L123" s="123">
        <f t="shared" si="8"/>
        <v>0</v>
      </c>
      <c r="M123" s="123">
        <f t="shared" si="9"/>
        <v>0</v>
      </c>
    </row>
    <row r="124" spans="1:13" ht="12.75">
      <c r="A124" s="122"/>
      <c r="B124" s="123"/>
      <c r="C124" s="123"/>
      <c r="D124" s="123"/>
      <c r="E124" s="123">
        <f t="shared" si="5"/>
        <v>0</v>
      </c>
      <c r="F124" s="123">
        <f t="shared" si="6"/>
        <v>0</v>
      </c>
      <c r="G124" s="123"/>
      <c r="H124" s="128"/>
      <c r="I124" s="123"/>
      <c r="J124" s="128"/>
      <c r="K124" s="123">
        <f t="shared" si="7"/>
        <v>0</v>
      </c>
      <c r="L124" s="123">
        <f t="shared" si="8"/>
        <v>0</v>
      </c>
      <c r="M124" s="123">
        <f t="shared" si="9"/>
        <v>0</v>
      </c>
    </row>
    <row r="125" spans="1:13" ht="25.5">
      <c r="A125" s="122" t="s">
        <v>123</v>
      </c>
      <c r="B125" s="123"/>
      <c r="C125" s="123"/>
      <c r="D125" s="123"/>
      <c r="E125" s="123">
        <f t="shared" si="5"/>
        <v>0</v>
      </c>
      <c r="F125" s="123">
        <f t="shared" si="6"/>
        <v>0</v>
      </c>
      <c r="G125" s="123"/>
      <c r="H125" s="128"/>
      <c r="I125" s="123"/>
      <c r="J125" s="128"/>
      <c r="K125" s="123">
        <f t="shared" si="7"/>
        <v>0</v>
      </c>
      <c r="L125" s="123">
        <f t="shared" si="8"/>
        <v>0</v>
      </c>
      <c r="M125" s="123">
        <f t="shared" si="9"/>
        <v>0</v>
      </c>
    </row>
    <row r="126" spans="1:13" ht="12.75">
      <c r="A126" s="122" t="s">
        <v>124</v>
      </c>
      <c r="B126" s="123"/>
      <c r="C126" s="123"/>
      <c r="D126" s="123"/>
      <c r="E126" s="123">
        <f t="shared" si="5"/>
        <v>0</v>
      </c>
      <c r="F126" s="123">
        <f t="shared" si="6"/>
        <v>0</v>
      </c>
      <c r="G126" s="123"/>
      <c r="H126" s="128"/>
      <c r="I126" s="123"/>
      <c r="J126" s="128"/>
      <c r="K126" s="123">
        <f t="shared" si="7"/>
        <v>0</v>
      </c>
      <c r="L126" s="123">
        <f t="shared" si="8"/>
        <v>0</v>
      </c>
      <c r="M126" s="123">
        <f t="shared" si="9"/>
        <v>0</v>
      </c>
    </row>
    <row r="127" spans="1:13" ht="12.75">
      <c r="A127" s="129" t="s">
        <v>125</v>
      </c>
      <c r="B127" s="123">
        <v>3000</v>
      </c>
      <c r="C127" s="123">
        <f>2931.66</f>
        <v>2931.66</v>
      </c>
      <c r="D127" s="123">
        <f>2931.66</f>
        <v>2931.66</v>
      </c>
      <c r="E127" s="123">
        <f t="shared" si="5"/>
        <v>0</v>
      </c>
      <c r="F127" s="123">
        <f t="shared" si="6"/>
        <v>68.34000000000015</v>
      </c>
      <c r="G127" s="123"/>
      <c r="H127" s="128"/>
      <c r="I127" s="123"/>
      <c r="J127" s="128"/>
      <c r="K127" s="123">
        <f t="shared" si="7"/>
        <v>0</v>
      </c>
      <c r="L127" s="123">
        <f t="shared" si="8"/>
        <v>0</v>
      </c>
      <c r="M127" s="123">
        <f t="shared" si="9"/>
        <v>2931.66</v>
      </c>
    </row>
    <row r="128" spans="1:13" ht="12.75">
      <c r="A128" s="122" t="s">
        <v>126</v>
      </c>
      <c r="B128" s="123"/>
      <c r="C128" s="123"/>
      <c r="D128" s="123"/>
      <c r="E128" s="123">
        <f t="shared" si="5"/>
        <v>0</v>
      </c>
      <c r="F128" s="123">
        <f t="shared" si="6"/>
        <v>0</v>
      </c>
      <c r="G128" s="123"/>
      <c r="H128" s="128"/>
      <c r="I128" s="123"/>
      <c r="J128" s="128"/>
      <c r="K128" s="123">
        <f t="shared" si="7"/>
        <v>0</v>
      </c>
      <c r="L128" s="123">
        <f t="shared" si="8"/>
        <v>0</v>
      </c>
      <c r="M128" s="123">
        <f t="shared" si="9"/>
        <v>0</v>
      </c>
    </row>
    <row r="129" spans="1:13" ht="12.75">
      <c r="A129" s="122"/>
      <c r="B129" s="123"/>
      <c r="C129" s="123"/>
      <c r="D129" s="123"/>
      <c r="E129" s="123">
        <f t="shared" si="5"/>
        <v>0</v>
      </c>
      <c r="F129" s="123">
        <f t="shared" si="6"/>
        <v>0</v>
      </c>
      <c r="G129" s="123"/>
      <c r="H129" s="128"/>
      <c r="I129" s="123"/>
      <c r="J129" s="128"/>
      <c r="K129" s="123">
        <f t="shared" si="7"/>
        <v>0</v>
      </c>
      <c r="L129" s="123">
        <f t="shared" si="8"/>
        <v>0</v>
      </c>
      <c r="M129" s="123">
        <f t="shared" si="9"/>
        <v>0</v>
      </c>
    </row>
    <row r="130" spans="1:13" ht="12.75">
      <c r="A130" s="122"/>
      <c r="B130" s="123"/>
      <c r="C130" s="123"/>
      <c r="D130" s="123"/>
      <c r="E130" s="123">
        <f t="shared" si="5"/>
        <v>0</v>
      </c>
      <c r="F130" s="123">
        <f t="shared" si="6"/>
        <v>0</v>
      </c>
      <c r="G130" s="123"/>
      <c r="H130" s="128"/>
      <c r="I130" s="123"/>
      <c r="J130" s="128"/>
      <c r="K130" s="123">
        <f t="shared" si="7"/>
        <v>0</v>
      </c>
      <c r="L130" s="123">
        <f t="shared" si="8"/>
        <v>0</v>
      </c>
      <c r="M130" s="123">
        <f t="shared" si="9"/>
        <v>0</v>
      </c>
    </row>
    <row r="131" spans="1:13" ht="25.5">
      <c r="A131" s="130" t="s">
        <v>127</v>
      </c>
      <c r="B131" s="131">
        <f>SUM(B125:B130)</f>
        <v>3000</v>
      </c>
      <c r="C131" s="131">
        <f>SUM(C125:C130)</f>
        <v>2931.66</v>
      </c>
      <c r="D131" s="131">
        <f>SUM(D125:D130)</f>
        <v>2931.66</v>
      </c>
      <c r="E131" s="131">
        <f>SUM(E125:E130)</f>
        <v>0</v>
      </c>
      <c r="F131" s="131">
        <f t="shared" si="6"/>
        <v>68.34000000000015</v>
      </c>
      <c r="G131" s="131"/>
      <c r="H131" s="131"/>
      <c r="I131" s="131"/>
      <c r="J131" s="131"/>
      <c r="K131" s="131">
        <f t="shared" si="7"/>
        <v>0</v>
      </c>
      <c r="L131" s="131">
        <f t="shared" si="8"/>
        <v>0</v>
      </c>
      <c r="M131" s="131">
        <f t="shared" si="9"/>
        <v>2931.66</v>
      </c>
    </row>
    <row r="132" spans="1:13" ht="12.75">
      <c r="A132" s="122"/>
      <c r="B132" s="123"/>
      <c r="C132" s="123"/>
      <c r="D132" s="123"/>
      <c r="E132" s="123">
        <f t="shared" si="5"/>
        <v>0</v>
      </c>
      <c r="F132" s="123">
        <f t="shared" si="6"/>
        <v>0</v>
      </c>
      <c r="G132" s="123"/>
      <c r="H132" s="128"/>
      <c r="I132" s="123"/>
      <c r="J132" s="128"/>
      <c r="K132" s="123">
        <f t="shared" si="7"/>
        <v>0</v>
      </c>
      <c r="L132" s="123">
        <f t="shared" si="8"/>
        <v>0</v>
      </c>
      <c r="M132" s="123">
        <f t="shared" si="9"/>
        <v>0</v>
      </c>
    </row>
    <row r="133" spans="1:13" ht="12.75">
      <c r="A133" s="122" t="s">
        <v>128</v>
      </c>
      <c r="B133" s="123"/>
      <c r="C133" s="123"/>
      <c r="D133" s="123"/>
      <c r="E133" s="123">
        <f t="shared" si="5"/>
        <v>0</v>
      </c>
      <c r="F133" s="123">
        <f t="shared" si="6"/>
        <v>0</v>
      </c>
      <c r="G133" s="123"/>
      <c r="H133" s="128"/>
      <c r="I133" s="123"/>
      <c r="J133" s="128"/>
      <c r="K133" s="123">
        <f t="shared" si="7"/>
        <v>0</v>
      </c>
      <c r="L133" s="123">
        <f t="shared" si="8"/>
        <v>0</v>
      </c>
      <c r="M133" s="123">
        <f t="shared" si="9"/>
        <v>0</v>
      </c>
    </row>
    <row r="134" spans="1:13" ht="12.75">
      <c r="A134" s="122" t="s">
        <v>129</v>
      </c>
      <c r="B134" s="123"/>
      <c r="C134" s="123"/>
      <c r="D134" s="123"/>
      <c r="E134" s="123">
        <f t="shared" si="5"/>
        <v>0</v>
      </c>
      <c r="F134" s="123">
        <f t="shared" si="6"/>
        <v>0</v>
      </c>
      <c r="G134" s="123"/>
      <c r="H134" s="128"/>
      <c r="I134" s="123"/>
      <c r="J134" s="128"/>
      <c r="K134" s="123">
        <f t="shared" si="7"/>
        <v>0</v>
      </c>
      <c r="L134" s="123">
        <f t="shared" si="8"/>
        <v>0</v>
      </c>
      <c r="M134" s="123">
        <f t="shared" si="9"/>
        <v>0</v>
      </c>
    </row>
    <row r="135" spans="1:13" ht="12.75">
      <c r="A135" s="129" t="s">
        <v>130</v>
      </c>
      <c r="B135" s="123">
        <v>1000</v>
      </c>
      <c r="C135" s="123">
        <f>913.78</f>
        <v>913.78</v>
      </c>
      <c r="D135" s="123">
        <f>913.78</f>
        <v>913.78</v>
      </c>
      <c r="E135" s="123">
        <f t="shared" si="5"/>
        <v>0</v>
      </c>
      <c r="F135" s="123">
        <f t="shared" si="6"/>
        <v>86.22000000000003</v>
      </c>
      <c r="G135" s="123"/>
      <c r="H135" s="128"/>
      <c r="I135" s="123"/>
      <c r="J135" s="128"/>
      <c r="K135" s="123">
        <f t="shared" si="7"/>
        <v>0</v>
      </c>
      <c r="L135" s="123">
        <f t="shared" si="8"/>
        <v>0</v>
      </c>
      <c r="M135" s="123">
        <f t="shared" si="9"/>
        <v>913.78</v>
      </c>
    </row>
    <row r="136" spans="1:13" ht="12.75">
      <c r="A136" s="122"/>
      <c r="B136" s="123"/>
      <c r="C136" s="123"/>
      <c r="D136" s="123"/>
      <c r="E136" s="123">
        <f t="shared" si="5"/>
        <v>0</v>
      </c>
      <c r="F136" s="123">
        <f t="shared" si="6"/>
        <v>0</v>
      </c>
      <c r="G136" s="123"/>
      <c r="H136" s="128"/>
      <c r="I136" s="123"/>
      <c r="J136" s="128"/>
      <c r="K136" s="123">
        <f t="shared" si="7"/>
        <v>0</v>
      </c>
      <c r="L136" s="123">
        <f t="shared" si="8"/>
        <v>0</v>
      </c>
      <c r="M136" s="123">
        <f t="shared" si="9"/>
        <v>0</v>
      </c>
    </row>
    <row r="137" spans="1:13" ht="25.5">
      <c r="A137" s="130" t="s">
        <v>131</v>
      </c>
      <c r="B137" s="131">
        <f>SUM(B134:B136)</f>
        <v>1000</v>
      </c>
      <c r="C137" s="131">
        <f>SUM(C134:C136)</f>
        <v>913.78</v>
      </c>
      <c r="D137" s="131">
        <f>SUM(D134:D136)</f>
        <v>913.78</v>
      </c>
      <c r="E137" s="131">
        <f t="shared" si="5"/>
        <v>0</v>
      </c>
      <c r="F137" s="131">
        <f t="shared" si="6"/>
        <v>86.22000000000003</v>
      </c>
      <c r="G137" s="131"/>
      <c r="H137" s="131"/>
      <c r="I137" s="131"/>
      <c r="J137" s="131"/>
      <c r="K137" s="131">
        <f t="shared" si="7"/>
        <v>0</v>
      </c>
      <c r="L137" s="131">
        <f t="shared" si="8"/>
        <v>0</v>
      </c>
      <c r="M137" s="131">
        <f t="shared" si="9"/>
        <v>913.78</v>
      </c>
    </row>
    <row r="138" spans="1:13" ht="12.75">
      <c r="A138" s="122"/>
      <c r="B138" s="123"/>
      <c r="C138" s="123"/>
      <c r="D138" s="123"/>
      <c r="E138" s="123">
        <f t="shared" si="5"/>
        <v>0</v>
      </c>
      <c r="F138" s="123">
        <f t="shared" si="6"/>
        <v>0</v>
      </c>
      <c r="G138" s="123"/>
      <c r="H138" s="128"/>
      <c r="I138" s="123"/>
      <c r="J138" s="128"/>
      <c r="K138" s="123">
        <f t="shared" si="7"/>
        <v>0</v>
      </c>
      <c r="L138" s="123">
        <f t="shared" si="8"/>
        <v>0</v>
      </c>
      <c r="M138" s="123">
        <f t="shared" si="9"/>
        <v>0</v>
      </c>
    </row>
    <row r="139" spans="1:13" ht="12.75">
      <c r="A139" s="122" t="s">
        <v>132</v>
      </c>
      <c r="B139" s="123"/>
      <c r="C139" s="123"/>
      <c r="D139" s="123"/>
      <c r="E139" s="123">
        <f t="shared" si="5"/>
        <v>0</v>
      </c>
      <c r="F139" s="123">
        <f t="shared" si="6"/>
        <v>0</v>
      </c>
      <c r="G139" s="123"/>
      <c r="H139" s="128"/>
      <c r="I139" s="123"/>
      <c r="J139" s="128"/>
      <c r="K139" s="123">
        <f t="shared" si="7"/>
        <v>0</v>
      </c>
      <c r="L139" s="123">
        <f t="shared" si="8"/>
        <v>0</v>
      </c>
      <c r="M139" s="123">
        <f t="shared" si="9"/>
        <v>0</v>
      </c>
    </row>
    <row r="140" spans="1:13" ht="12.75">
      <c r="A140" s="122" t="s">
        <v>39</v>
      </c>
      <c r="B140" s="123"/>
      <c r="C140" s="123"/>
      <c r="D140" s="123"/>
      <c r="E140" s="123">
        <f t="shared" si="5"/>
        <v>0</v>
      </c>
      <c r="F140" s="123">
        <f t="shared" si="6"/>
        <v>0</v>
      </c>
      <c r="G140" s="123"/>
      <c r="H140" s="128"/>
      <c r="I140" s="123"/>
      <c r="J140" s="128"/>
      <c r="K140" s="123">
        <f t="shared" si="7"/>
        <v>0</v>
      </c>
      <c r="L140" s="123">
        <f t="shared" si="8"/>
        <v>0</v>
      </c>
      <c r="M140" s="123">
        <f t="shared" si="9"/>
        <v>0</v>
      </c>
    </row>
    <row r="141" spans="1:13" ht="12.75">
      <c r="A141" s="122"/>
      <c r="B141" s="123"/>
      <c r="C141" s="123"/>
      <c r="D141" s="123"/>
      <c r="E141" s="123">
        <f t="shared" si="5"/>
        <v>0</v>
      </c>
      <c r="F141" s="123">
        <f t="shared" si="6"/>
        <v>0</v>
      </c>
      <c r="G141" s="123"/>
      <c r="H141" s="128"/>
      <c r="I141" s="123"/>
      <c r="J141" s="128"/>
      <c r="K141" s="123">
        <f t="shared" si="7"/>
        <v>0</v>
      </c>
      <c r="L141" s="123">
        <f t="shared" si="8"/>
        <v>0</v>
      </c>
      <c r="M141" s="123">
        <f t="shared" si="9"/>
        <v>0</v>
      </c>
    </row>
    <row r="142" spans="1:13" ht="25.5">
      <c r="A142" s="130" t="s">
        <v>133</v>
      </c>
      <c r="B142" s="131">
        <f>SUM(B140:B141)</f>
        <v>0</v>
      </c>
      <c r="C142" s="131"/>
      <c r="D142" s="131"/>
      <c r="E142" s="131">
        <f aca="true" t="shared" si="10" ref="E142:E178">C142-D142</f>
        <v>0</v>
      </c>
      <c r="F142" s="131">
        <f aca="true" t="shared" si="11" ref="F142:F178">B142-C142</f>
        <v>0</v>
      </c>
      <c r="G142" s="131"/>
      <c r="H142" s="131"/>
      <c r="I142" s="131"/>
      <c r="J142" s="131"/>
      <c r="K142" s="131">
        <f aca="true" t="shared" si="12" ref="K142:K178">H142-J142</f>
        <v>0</v>
      </c>
      <c r="L142" s="131">
        <f aca="true" t="shared" si="13" ref="L142:L178">E142+K142</f>
        <v>0</v>
      </c>
      <c r="M142" s="131">
        <f aca="true" t="shared" si="14" ref="M142:M178">D142+J142</f>
        <v>0</v>
      </c>
    </row>
    <row r="143" spans="1:13" ht="12.75">
      <c r="A143" s="122"/>
      <c r="B143" s="123"/>
      <c r="C143" s="123"/>
      <c r="D143" s="123"/>
      <c r="E143" s="123">
        <f t="shared" si="10"/>
        <v>0</v>
      </c>
      <c r="F143" s="123">
        <f t="shared" si="11"/>
        <v>0</v>
      </c>
      <c r="G143" s="123"/>
      <c r="H143" s="128"/>
      <c r="I143" s="123"/>
      <c r="J143" s="128"/>
      <c r="K143" s="123">
        <f t="shared" si="12"/>
        <v>0</v>
      </c>
      <c r="L143" s="123">
        <f t="shared" si="13"/>
        <v>0</v>
      </c>
      <c r="M143" s="123">
        <f t="shared" si="14"/>
        <v>0</v>
      </c>
    </row>
    <row r="144" spans="1:13" ht="12.75">
      <c r="A144" s="122" t="s">
        <v>134</v>
      </c>
      <c r="B144" s="123"/>
      <c r="C144" s="123"/>
      <c r="D144" s="123"/>
      <c r="E144" s="123">
        <f t="shared" si="10"/>
        <v>0</v>
      </c>
      <c r="F144" s="123">
        <f t="shared" si="11"/>
        <v>0</v>
      </c>
      <c r="G144" s="123"/>
      <c r="H144" s="128"/>
      <c r="I144" s="123"/>
      <c r="J144" s="128"/>
      <c r="K144" s="123">
        <f t="shared" si="12"/>
        <v>0</v>
      </c>
      <c r="L144" s="123">
        <f t="shared" si="13"/>
        <v>0</v>
      </c>
      <c r="M144" s="123">
        <f t="shared" si="14"/>
        <v>0</v>
      </c>
    </row>
    <row r="145" spans="1:13" ht="12.75">
      <c r="A145" s="122" t="s">
        <v>135</v>
      </c>
      <c r="B145" s="123"/>
      <c r="C145" s="123"/>
      <c r="D145" s="123"/>
      <c r="E145" s="123">
        <f t="shared" si="10"/>
        <v>0</v>
      </c>
      <c r="F145" s="123">
        <f t="shared" si="11"/>
        <v>0</v>
      </c>
      <c r="G145" s="123"/>
      <c r="H145" s="128"/>
      <c r="I145" s="123"/>
      <c r="J145" s="128"/>
      <c r="K145" s="123">
        <f t="shared" si="12"/>
        <v>0</v>
      </c>
      <c r="L145" s="123">
        <f t="shared" si="13"/>
        <v>0</v>
      </c>
      <c r="M145" s="123">
        <f t="shared" si="14"/>
        <v>0</v>
      </c>
    </row>
    <row r="146" spans="1:13" ht="12.75">
      <c r="A146" s="122"/>
      <c r="B146" s="123"/>
      <c r="C146" s="123"/>
      <c r="D146" s="123"/>
      <c r="E146" s="123">
        <f t="shared" si="10"/>
        <v>0</v>
      </c>
      <c r="F146" s="123">
        <f t="shared" si="11"/>
        <v>0</v>
      </c>
      <c r="G146" s="123"/>
      <c r="H146" s="128"/>
      <c r="I146" s="123"/>
      <c r="J146" s="128"/>
      <c r="K146" s="123">
        <f t="shared" si="12"/>
        <v>0</v>
      </c>
      <c r="L146" s="123">
        <f t="shared" si="13"/>
        <v>0</v>
      </c>
      <c r="M146" s="123">
        <f t="shared" si="14"/>
        <v>0</v>
      </c>
    </row>
    <row r="147" spans="1:13" ht="12.75">
      <c r="A147" s="130" t="s">
        <v>136</v>
      </c>
      <c r="B147" s="131">
        <f>SUM(B145:B146)</f>
        <v>0</v>
      </c>
      <c r="C147" s="131"/>
      <c r="D147" s="131"/>
      <c r="E147" s="131">
        <f t="shared" si="10"/>
        <v>0</v>
      </c>
      <c r="F147" s="131">
        <f t="shared" si="11"/>
        <v>0</v>
      </c>
      <c r="G147" s="131"/>
      <c r="H147" s="131"/>
      <c r="I147" s="131"/>
      <c r="J147" s="131"/>
      <c r="K147" s="131">
        <f t="shared" si="12"/>
        <v>0</v>
      </c>
      <c r="L147" s="131">
        <f t="shared" si="13"/>
        <v>0</v>
      </c>
      <c r="M147" s="131">
        <f t="shared" si="14"/>
        <v>0</v>
      </c>
    </row>
    <row r="148" spans="1:13" ht="12.75">
      <c r="A148" s="122"/>
      <c r="B148" s="123"/>
      <c r="C148" s="123"/>
      <c r="D148" s="123"/>
      <c r="E148" s="123">
        <f t="shared" si="10"/>
        <v>0</v>
      </c>
      <c r="F148" s="123">
        <f t="shared" si="11"/>
        <v>0</v>
      </c>
      <c r="G148" s="123"/>
      <c r="H148" s="128"/>
      <c r="I148" s="123"/>
      <c r="J148" s="128"/>
      <c r="K148" s="123">
        <f t="shared" si="12"/>
        <v>0</v>
      </c>
      <c r="L148" s="123">
        <f t="shared" si="13"/>
        <v>0</v>
      </c>
      <c r="M148" s="123">
        <f t="shared" si="14"/>
        <v>0</v>
      </c>
    </row>
    <row r="149" spans="1:13" ht="12.75">
      <c r="A149" s="122" t="s">
        <v>137</v>
      </c>
      <c r="B149" s="123"/>
      <c r="C149" s="123"/>
      <c r="D149" s="123"/>
      <c r="E149" s="123">
        <f t="shared" si="10"/>
        <v>0</v>
      </c>
      <c r="F149" s="123">
        <f t="shared" si="11"/>
        <v>0</v>
      </c>
      <c r="G149" s="123"/>
      <c r="H149" s="128"/>
      <c r="I149" s="123"/>
      <c r="J149" s="128"/>
      <c r="K149" s="123">
        <f t="shared" si="12"/>
        <v>0</v>
      </c>
      <c r="L149" s="123">
        <f t="shared" si="13"/>
        <v>0</v>
      </c>
      <c r="M149" s="123">
        <f t="shared" si="14"/>
        <v>0</v>
      </c>
    </row>
    <row r="150" spans="1:13" ht="12.75">
      <c r="A150" s="122" t="s">
        <v>138</v>
      </c>
      <c r="B150" s="123"/>
      <c r="C150" s="123"/>
      <c r="D150" s="123"/>
      <c r="E150" s="123">
        <f t="shared" si="10"/>
        <v>0</v>
      </c>
      <c r="F150" s="123">
        <f t="shared" si="11"/>
        <v>0</v>
      </c>
      <c r="G150" s="123"/>
      <c r="H150" s="128"/>
      <c r="I150" s="123"/>
      <c r="J150" s="128"/>
      <c r="K150" s="123">
        <f t="shared" si="12"/>
        <v>0</v>
      </c>
      <c r="L150" s="123">
        <f t="shared" si="13"/>
        <v>0</v>
      </c>
      <c r="M150" s="123">
        <f t="shared" si="14"/>
        <v>0</v>
      </c>
    </row>
    <row r="151" spans="1:13" ht="12.75">
      <c r="A151" s="122"/>
      <c r="B151" s="123"/>
      <c r="C151" s="123"/>
      <c r="D151" s="123"/>
      <c r="E151" s="123">
        <f t="shared" si="10"/>
        <v>0</v>
      </c>
      <c r="F151" s="123">
        <f t="shared" si="11"/>
        <v>0</v>
      </c>
      <c r="G151" s="123"/>
      <c r="H151" s="128"/>
      <c r="I151" s="123"/>
      <c r="J151" s="128"/>
      <c r="K151" s="123">
        <f t="shared" si="12"/>
        <v>0</v>
      </c>
      <c r="L151" s="123">
        <f t="shared" si="13"/>
        <v>0</v>
      </c>
      <c r="M151" s="123">
        <f t="shared" si="14"/>
        <v>0</v>
      </c>
    </row>
    <row r="152" spans="1:13" ht="25.5">
      <c r="A152" s="130" t="s">
        <v>139</v>
      </c>
      <c r="B152" s="131">
        <f>SUM(B150:B151)</f>
        <v>0</v>
      </c>
      <c r="C152" s="131"/>
      <c r="D152" s="131"/>
      <c r="E152" s="131">
        <f t="shared" si="10"/>
        <v>0</v>
      </c>
      <c r="F152" s="131">
        <f t="shared" si="11"/>
        <v>0</v>
      </c>
      <c r="G152" s="131"/>
      <c r="H152" s="131"/>
      <c r="I152" s="131"/>
      <c r="J152" s="131"/>
      <c r="K152" s="131">
        <f t="shared" si="12"/>
        <v>0</v>
      </c>
      <c r="L152" s="131">
        <f t="shared" si="13"/>
        <v>0</v>
      </c>
      <c r="M152" s="131">
        <f t="shared" si="14"/>
        <v>0</v>
      </c>
    </row>
    <row r="153" spans="1:13" ht="12.75">
      <c r="A153" s="122"/>
      <c r="B153" s="123"/>
      <c r="C153" s="123"/>
      <c r="D153" s="123"/>
      <c r="E153" s="123">
        <f t="shared" si="10"/>
        <v>0</v>
      </c>
      <c r="F153" s="123">
        <f t="shared" si="11"/>
        <v>0</v>
      </c>
      <c r="G153" s="123"/>
      <c r="H153" s="128"/>
      <c r="I153" s="123"/>
      <c r="J153" s="128"/>
      <c r="K153" s="123">
        <f t="shared" si="12"/>
        <v>0</v>
      </c>
      <c r="L153" s="123">
        <f t="shared" si="13"/>
        <v>0</v>
      </c>
      <c r="M153" s="123">
        <f t="shared" si="14"/>
        <v>0</v>
      </c>
    </row>
    <row r="154" spans="1:13" ht="12.75">
      <c r="A154" s="122" t="s">
        <v>140</v>
      </c>
      <c r="B154" s="123"/>
      <c r="C154" s="123"/>
      <c r="D154" s="123"/>
      <c r="E154" s="123">
        <f t="shared" si="10"/>
        <v>0</v>
      </c>
      <c r="F154" s="123">
        <f t="shared" si="11"/>
        <v>0</v>
      </c>
      <c r="G154" s="123"/>
      <c r="H154" s="128"/>
      <c r="I154" s="123"/>
      <c r="J154" s="128"/>
      <c r="K154" s="123">
        <f t="shared" si="12"/>
        <v>0</v>
      </c>
      <c r="L154" s="123">
        <f t="shared" si="13"/>
        <v>0</v>
      </c>
      <c r="M154" s="123">
        <f t="shared" si="14"/>
        <v>0</v>
      </c>
    </row>
    <row r="155" spans="1:13" ht="12.75">
      <c r="A155" s="122" t="s">
        <v>141</v>
      </c>
      <c r="B155" s="123"/>
      <c r="C155" s="123"/>
      <c r="D155" s="123"/>
      <c r="E155" s="123">
        <f t="shared" si="10"/>
        <v>0</v>
      </c>
      <c r="F155" s="123">
        <f t="shared" si="11"/>
        <v>0</v>
      </c>
      <c r="G155" s="123"/>
      <c r="H155" s="128"/>
      <c r="I155" s="123"/>
      <c r="J155" s="128"/>
      <c r="K155" s="123">
        <f t="shared" si="12"/>
        <v>0</v>
      </c>
      <c r="L155" s="123">
        <f t="shared" si="13"/>
        <v>0</v>
      </c>
      <c r="M155" s="123">
        <f t="shared" si="14"/>
        <v>0</v>
      </c>
    </row>
    <row r="156" spans="1:13" ht="12.75">
      <c r="A156" s="122"/>
      <c r="B156" s="123"/>
      <c r="C156" s="123"/>
      <c r="D156" s="123"/>
      <c r="E156" s="123">
        <f t="shared" si="10"/>
        <v>0</v>
      </c>
      <c r="F156" s="123">
        <f t="shared" si="11"/>
        <v>0</v>
      </c>
      <c r="G156" s="123"/>
      <c r="H156" s="128"/>
      <c r="I156" s="123"/>
      <c r="J156" s="128"/>
      <c r="K156" s="123">
        <f t="shared" si="12"/>
        <v>0</v>
      </c>
      <c r="L156" s="123">
        <f t="shared" si="13"/>
        <v>0</v>
      </c>
      <c r="M156" s="123">
        <f t="shared" si="14"/>
        <v>0</v>
      </c>
    </row>
    <row r="157" spans="1:13" ht="12.75">
      <c r="A157" s="130" t="s">
        <v>142</v>
      </c>
      <c r="B157" s="131">
        <f>SUM(B154:B156)</f>
        <v>0</v>
      </c>
      <c r="C157" s="131"/>
      <c r="D157" s="131"/>
      <c r="E157" s="131">
        <f t="shared" si="10"/>
        <v>0</v>
      </c>
      <c r="F157" s="131">
        <f t="shared" si="11"/>
        <v>0</v>
      </c>
      <c r="G157" s="131"/>
      <c r="H157" s="131"/>
      <c r="I157" s="131"/>
      <c r="J157" s="131"/>
      <c r="K157" s="131">
        <f t="shared" si="12"/>
        <v>0</v>
      </c>
      <c r="L157" s="131">
        <f t="shared" si="13"/>
        <v>0</v>
      </c>
      <c r="M157" s="131">
        <f t="shared" si="14"/>
        <v>0</v>
      </c>
    </row>
    <row r="158" spans="1:13" ht="12.75">
      <c r="A158" s="122"/>
      <c r="B158" s="123"/>
      <c r="C158" s="123"/>
      <c r="D158" s="123"/>
      <c r="E158" s="123">
        <f t="shared" si="10"/>
        <v>0</v>
      </c>
      <c r="F158" s="123">
        <f t="shared" si="11"/>
        <v>0</v>
      </c>
      <c r="G158" s="123"/>
      <c r="H158" s="128"/>
      <c r="I158" s="123"/>
      <c r="J158" s="128"/>
      <c r="K158" s="123">
        <f t="shared" si="12"/>
        <v>0</v>
      </c>
      <c r="L158" s="123">
        <f t="shared" si="13"/>
        <v>0</v>
      </c>
      <c r="M158" s="123">
        <f t="shared" si="14"/>
        <v>0</v>
      </c>
    </row>
    <row r="159" spans="1:13" ht="12.75">
      <c r="A159" s="122" t="s">
        <v>143</v>
      </c>
      <c r="B159" s="123"/>
      <c r="C159" s="123"/>
      <c r="D159" s="123"/>
      <c r="E159" s="123">
        <f t="shared" si="10"/>
        <v>0</v>
      </c>
      <c r="F159" s="123">
        <f t="shared" si="11"/>
        <v>0</v>
      </c>
      <c r="G159" s="123"/>
      <c r="H159" s="128"/>
      <c r="I159" s="123"/>
      <c r="J159" s="128"/>
      <c r="K159" s="123">
        <f t="shared" si="12"/>
        <v>0</v>
      </c>
      <c r="L159" s="123">
        <f t="shared" si="13"/>
        <v>0</v>
      </c>
      <c r="M159" s="123">
        <f t="shared" si="14"/>
        <v>0</v>
      </c>
    </row>
    <row r="160" spans="1:13" ht="12.75">
      <c r="A160" s="122" t="s">
        <v>144</v>
      </c>
      <c r="B160" s="123"/>
      <c r="C160" s="123"/>
      <c r="D160" s="123"/>
      <c r="E160" s="123">
        <f t="shared" si="10"/>
        <v>0</v>
      </c>
      <c r="F160" s="123">
        <f t="shared" si="11"/>
        <v>0</v>
      </c>
      <c r="G160" s="123"/>
      <c r="H160" s="128"/>
      <c r="I160" s="123"/>
      <c r="J160" s="128"/>
      <c r="K160" s="123">
        <f t="shared" si="12"/>
        <v>0</v>
      </c>
      <c r="L160" s="123">
        <f t="shared" si="13"/>
        <v>0</v>
      </c>
      <c r="M160" s="123">
        <f t="shared" si="14"/>
        <v>0</v>
      </c>
    </row>
    <row r="161" spans="1:13" ht="12.75">
      <c r="A161" s="122"/>
      <c r="B161" s="123"/>
      <c r="C161" s="123"/>
      <c r="D161" s="123"/>
      <c r="E161" s="123">
        <f t="shared" si="10"/>
        <v>0</v>
      </c>
      <c r="F161" s="123">
        <f t="shared" si="11"/>
        <v>0</v>
      </c>
      <c r="G161" s="123"/>
      <c r="H161" s="128"/>
      <c r="I161" s="123"/>
      <c r="J161" s="128"/>
      <c r="K161" s="123">
        <f t="shared" si="12"/>
        <v>0</v>
      </c>
      <c r="L161" s="123">
        <f t="shared" si="13"/>
        <v>0</v>
      </c>
      <c r="M161" s="123">
        <f t="shared" si="14"/>
        <v>0</v>
      </c>
    </row>
    <row r="162" spans="1:13" ht="25.5">
      <c r="A162" s="130" t="s">
        <v>145</v>
      </c>
      <c r="B162" s="131">
        <f>SUM(B159:B161)</f>
        <v>0</v>
      </c>
      <c r="C162" s="131"/>
      <c r="D162" s="131"/>
      <c r="E162" s="131">
        <f t="shared" si="10"/>
        <v>0</v>
      </c>
      <c r="F162" s="131">
        <f t="shared" si="11"/>
        <v>0</v>
      </c>
      <c r="G162" s="131"/>
      <c r="H162" s="131"/>
      <c r="I162" s="131"/>
      <c r="J162" s="131"/>
      <c r="K162" s="131">
        <f t="shared" si="12"/>
        <v>0</v>
      </c>
      <c r="L162" s="131">
        <f t="shared" si="13"/>
        <v>0</v>
      </c>
      <c r="M162" s="131">
        <f t="shared" si="14"/>
        <v>0</v>
      </c>
    </row>
    <row r="163" spans="1:13" ht="12.75">
      <c r="A163" s="122"/>
      <c r="B163" s="123"/>
      <c r="C163" s="123"/>
      <c r="D163" s="123"/>
      <c r="E163" s="123">
        <f t="shared" si="10"/>
        <v>0</v>
      </c>
      <c r="F163" s="123">
        <f t="shared" si="11"/>
        <v>0</v>
      </c>
      <c r="G163" s="123"/>
      <c r="H163" s="128"/>
      <c r="I163" s="123"/>
      <c r="J163" s="128"/>
      <c r="K163" s="123">
        <f t="shared" si="12"/>
        <v>0</v>
      </c>
      <c r="L163" s="123">
        <f t="shared" si="13"/>
        <v>0</v>
      </c>
      <c r="M163" s="123">
        <f t="shared" si="14"/>
        <v>0</v>
      </c>
    </row>
    <row r="164" spans="1:13" ht="25.5">
      <c r="A164" s="122" t="s">
        <v>146</v>
      </c>
      <c r="B164" s="123"/>
      <c r="C164" s="123"/>
      <c r="D164" s="123"/>
      <c r="E164" s="123">
        <f t="shared" si="10"/>
        <v>0</v>
      </c>
      <c r="F164" s="123">
        <f t="shared" si="11"/>
        <v>0</v>
      </c>
      <c r="G164" s="123"/>
      <c r="H164" s="128"/>
      <c r="I164" s="123"/>
      <c r="J164" s="128"/>
      <c r="K164" s="123">
        <f t="shared" si="12"/>
        <v>0</v>
      </c>
      <c r="L164" s="123">
        <f t="shared" si="13"/>
        <v>0</v>
      </c>
      <c r="M164" s="123">
        <f t="shared" si="14"/>
        <v>0</v>
      </c>
    </row>
    <row r="165" spans="1:13" ht="12.75">
      <c r="A165" s="122" t="s">
        <v>147</v>
      </c>
      <c r="B165" s="123"/>
      <c r="C165" s="123"/>
      <c r="D165" s="123"/>
      <c r="E165" s="123">
        <f t="shared" si="10"/>
        <v>0</v>
      </c>
      <c r="F165" s="123">
        <f t="shared" si="11"/>
        <v>0</v>
      </c>
      <c r="G165" s="123"/>
      <c r="H165" s="128"/>
      <c r="I165" s="123"/>
      <c r="J165" s="128"/>
      <c r="K165" s="123">
        <f t="shared" si="12"/>
        <v>0</v>
      </c>
      <c r="L165" s="123">
        <f t="shared" si="13"/>
        <v>0</v>
      </c>
      <c r="M165" s="123">
        <f t="shared" si="14"/>
        <v>0</v>
      </c>
    </row>
    <row r="166" spans="1:13" ht="12.75">
      <c r="A166" s="122"/>
      <c r="B166" s="123"/>
      <c r="C166" s="123"/>
      <c r="D166" s="123"/>
      <c r="E166" s="123">
        <f t="shared" si="10"/>
        <v>0</v>
      </c>
      <c r="F166" s="123">
        <f t="shared" si="11"/>
        <v>0</v>
      </c>
      <c r="G166" s="123"/>
      <c r="H166" s="128"/>
      <c r="I166" s="123"/>
      <c r="J166" s="128"/>
      <c r="K166" s="123">
        <f t="shared" si="12"/>
        <v>0</v>
      </c>
      <c r="L166" s="123">
        <f t="shared" si="13"/>
        <v>0</v>
      </c>
      <c r="M166" s="123">
        <f t="shared" si="14"/>
        <v>0</v>
      </c>
    </row>
    <row r="167" spans="1:13" ht="25.5">
      <c r="A167" s="130" t="s">
        <v>148</v>
      </c>
      <c r="B167" s="131">
        <f>SUM(B164:B166)</f>
        <v>0</v>
      </c>
      <c r="C167" s="131"/>
      <c r="D167" s="131"/>
      <c r="E167" s="131">
        <f t="shared" si="10"/>
        <v>0</v>
      </c>
      <c r="F167" s="131">
        <f t="shared" si="11"/>
        <v>0</v>
      </c>
      <c r="G167" s="131"/>
      <c r="H167" s="131"/>
      <c r="I167" s="131"/>
      <c r="J167" s="131"/>
      <c r="K167" s="131">
        <f t="shared" si="12"/>
        <v>0</v>
      </c>
      <c r="L167" s="131">
        <f t="shared" si="13"/>
        <v>0</v>
      </c>
      <c r="M167" s="131">
        <f t="shared" si="14"/>
        <v>0</v>
      </c>
    </row>
    <row r="168" spans="1:13" ht="12.75">
      <c r="A168" s="122"/>
      <c r="B168" s="123"/>
      <c r="C168" s="123"/>
      <c r="D168" s="123"/>
      <c r="E168" s="123">
        <f t="shared" si="10"/>
        <v>0</v>
      </c>
      <c r="F168" s="123">
        <f t="shared" si="11"/>
        <v>0</v>
      </c>
      <c r="G168" s="123"/>
      <c r="H168" s="128"/>
      <c r="I168" s="123"/>
      <c r="J168" s="128"/>
      <c r="K168" s="123">
        <f t="shared" si="12"/>
        <v>0</v>
      </c>
      <c r="L168" s="123">
        <f t="shared" si="13"/>
        <v>0</v>
      </c>
      <c r="M168" s="123">
        <f t="shared" si="14"/>
        <v>0</v>
      </c>
    </row>
    <row r="169" spans="1:13" ht="21.75" customHeight="1">
      <c r="A169" s="136" t="s">
        <v>149</v>
      </c>
      <c r="B169" s="123">
        <f>SUM(+B152+B147+B142+B137+B131)</f>
        <v>4000</v>
      </c>
      <c r="C169" s="123">
        <f>SUM(+C152+C147+C142+C137+C131)</f>
        <v>3845.4399999999996</v>
      </c>
      <c r="D169" s="123">
        <f>SUM(+D152+D147+D142+D137+D131)</f>
        <v>3845.4399999999996</v>
      </c>
      <c r="E169" s="123">
        <f t="shared" si="10"/>
        <v>0</v>
      </c>
      <c r="F169" s="123">
        <f t="shared" si="11"/>
        <v>154.5600000000004</v>
      </c>
      <c r="G169" s="123"/>
      <c r="H169" s="128"/>
      <c r="I169" s="123"/>
      <c r="J169" s="128"/>
      <c r="K169" s="123">
        <f t="shared" si="12"/>
        <v>0</v>
      </c>
      <c r="L169" s="123">
        <f t="shared" si="13"/>
        <v>0</v>
      </c>
      <c r="M169" s="123">
        <f t="shared" si="14"/>
        <v>3845.4399999999996</v>
      </c>
    </row>
    <row r="170" spans="1:13" ht="12.75">
      <c r="A170" s="122"/>
      <c r="B170" s="123"/>
      <c r="C170" s="123"/>
      <c r="D170" s="123"/>
      <c r="E170" s="123">
        <f t="shared" si="10"/>
        <v>0</v>
      </c>
      <c r="F170" s="123">
        <f t="shared" si="11"/>
        <v>0</v>
      </c>
      <c r="G170" s="123"/>
      <c r="H170" s="128"/>
      <c r="I170" s="123"/>
      <c r="J170" s="128"/>
      <c r="K170" s="123">
        <f t="shared" si="12"/>
        <v>0</v>
      </c>
      <c r="L170" s="123">
        <f t="shared" si="13"/>
        <v>0</v>
      </c>
      <c r="M170" s="123">
        <f t="shared" si="14"/>
        <v>0</v>
      </c>
    </row>
    <row r="171" spans="1:13" ht="12.75">
      <c r="A171" s="137" t="s">
        <v>50</v>
      </c>
      <c r="B171" s="123"/>
      <c r="C171" s="123"/>
      <c r="D171" s="123"/>
      <c r="E171" s="123">
        <f t="shared" si="10"/>
        <v>0</v>
      </c>
      <c r="F171" s="123">
        <f t="shared" si="11"/>
        <v>0</v>
      </c>
      <c r="G171" s="123"/>
      <c r="H171" s="128"/>
      <c r="I171" s="123"/>
      <c r="J171" s="128"/>
      <c r="K171" s="123">
        <f t="shared" si="12"/>
        <v>0</v>
      </c>
      <c r="L171" s="123">
        <f t="shared" si="13"/>
        <v>0</v>
      </c>
      <c r="M171" s="123">
        <f t="shared" si="14"/>
        <v>0</v>
      </c>
    </row>
    <row r="172" spans="1:13" ht="12.75">
      <c r="A172" s="122"/>
      <c r="B172" s="123"/>
      <c r="C172" s="123"/>
      <c r="D172" s="123"/>
      <c r="E172" s="123">
        <f t="shared" si="10"/>
        <v>0</v>
      </c>
      <c r="F172" s="123">
        <f t="shared" si="11"/>
        <v>0</v>
      </c>
      <c r="G172" s="123"/>
      <c r="H172" s="128"/>
      <c r="I172" s="123"/>
      <c r="J172" s="128"/>
      <c r="K172" s="123">
        <f t="shared" si="12"/>
        <v>0</v>
      </c>
      <c r="L172" s="123">
        <f t="shared" si="13"/>
        <v>0</v>
      </c>
      <c r="M172" s="123">
        <f t="shared" si="14"/>
        <v>0</v>
      </c>
    </row>
    <row r="173" spans="1:13" ht="12.75">
      <c r="A173" s="122" t="s">
        <v>150</v>
      </c>
      <c r="B173" s="123"/>
      <c r="C173" s="123"/>
      <c r="D173" s="123"/>
      <c r="E173" s="123">
        <f t="shared" si="10"/>
        <v>0</v>
      </c>
      <c r="F173" s="123">
        <f t="shared" si="11"/>
        <v>0</v>
      </c>
      <c r="G173" s="123"/>
      <c r="H173" s="128"/>
      <c r="I173" s="123"/>
      <c r="J173" s="128"/>
      <c r="K173" s="123">
        <f t="shared" si="12"/>
        <v>0</v>
      </c>
      <c r="L173" s="123">
        <f t="shared" si="13"/>
        <v>0</v>
      </c>
      <c r="M173" s="123">
        <f t="shared" si="14"/>
        <v>0</v>
      </c>
    </row>
    <row r="174" spans="1:13" ht="12.75">
      <c r="A174" s="129" t="s">
        <v>395</v>
      </c>
      <c r="B174" s="128">
        <v>12000</v>
      </c>
      <c r="C174" s="128">
        <f>'dettaglio partite di giro'!C25</f>
        <v>9802.440000000002</v>
      </c>
      <c r="D174" s="128">
        <f>'dettaglio partite di giro'!D25</f>
        <v>8930.170000000002</v>
      </c>
      <c r="E174" s="128">
        <f t="shared" si="10"/>
        <v>872.2700000000004</v>
      </c>
      <c r="F174" s="128">
        <f t="shared" si="11"/>
        <v>2197.5599999999977</v>
      </c>
      <c r="G174" s="128"/>
      <c r="H174" s="128">
        <v>4904.21</v>
      </c>
      <c r="I174" s="128"/>
      <c r="J174" s="128">
        <v>4904.21</v>
      </c>
      <c r="K174" s="128">
        <f t="shared" si="12"/>
        <v>0</v>
      </c>
      <c r="L174" s="128">
        <f t="shared" si="13"/>
        <v>872.2700000000004</v>
      </c>
      <c r="M174" s="128">
        <f t="shared" si="14"/>
        <v>13834.380000000001</v>
      </c>
    </row>
    <row r="175" spans="1:13" ht="12.75">
      <c r="A175" s="122" t="s">
        <v>52</v>
      </c>
      <c r="B175" s="123"/>
      <c r="C175" s="123"/>
      <c r="D175" s="123"/>
      <c r="E175" s="123">
        <f t="shared" si="10"/>
        <v>0</v>
      </c>
      <c r="F175" s="123">
        <f t="shared" si="11"/>
        <v>0</v>
      </c>
      <c r="G175" s="123"/>
      <c r="H175" s="128"/>
      <c r="I175" s="123"/>
      <c r="J175" s="128"/>
      <c r="K175" s="123">
        <f t="shared" si="12"/>
        <v>0</v>
      </c>
      <c r="L175" s="123">
        <f t="shared" si="13"/>
        <v>0</v>
      </c>
      <c r="M175" s="123">
        <f t="shared" si="14"/>
        <v>0</v>
      </c>
    </row>
    <row r="176" spans="1:13" ht="12.75">
      <c r="A176" s="122" t="s">
        <v>53</v>
      </c>
      <c r="B176" s="123"/>
      <c r="C176" s="123"/>
      <c r="D176" s="123"/>
      <c r="E176" s="123">
        <f t="shared" si="10"/>
        <v>0</v>
      </c>
      <c r="F176" s="123">
        <f t="shared" si="11"/>
        <v>0</v>
      </c>
      <c r="G176" s="123"/>
      <c r="H176" s="128"/>
      <c r="I176" s="123"/>
      <c r="J176" s="128"/>
      <c r="K176" s="123">
        <f t="shared" si="12"/>
        <v>0</v>
      </c>
      <c r="L176" s="123">
        <f t="shared" si="13"/>
        <v>0</v>
      </c>
      <c r="M176" s="123">
        <f t="shared" si="14"/>
        <v>0</v>
      </c>
    </row>
    <row r="177" spans="1:13" ht="12.75">
      <c r="A177" s="122"/>
      <c r="B177" s="123"/>
      <c r="C177" s="123"/>
      <c r="D177" s="123"/>
      <c r="E177" s="123">
        <f t="shared" si="10"/>
        <v>0</v>
      </c>
      <c r="F177" s="123">
        <f t="shared" si="11"/>
        <v>0</v>
      </c>
      <c r="G177" s="123"/>
      <c r="H177" s="128"/>
      <c r="I177" s="123"/>
      <c r="J177" s="128"/>
      <c r="K177" s="123">
        <f t="shared" si="12"/>
        <v>0</v>
      </c>
      <c r="L177" s="123">
        <f t="shared" si="13"/>
        <v>0</v>
      </c>
      <c r="M177" s="123">
        <f t="shared" si="14"/>
        <v>0</v>
      </c>
    </row>
    <row r="178" spans="1:13" ht="12.75">
      <c r="A178" s="130" t="s">
        <v>151</v>
      </c>
      <c r="B178" s="131">
        <f>SUM(B174:B176)</f>
        <v>12000</v>
      </c>
      <c r="C178" s="131">
        <f>SUM(C174:C177)</f>
        <v>9802.440000000002</v>
      </c>
      <c r="D178" s="131">
        <f>SUM(D174:D177)</f>
        <v>8930.170000000002</v>
      </c>
      <c r="E178" s="131">
        <f t="shared" si="10"/>
        <v>872.2700000000004</v>
      </c>
      <c r="F178" s="131">
        <f t="shared" si="11"/>
        <v>2197.5599999999977</v>
      </c>
      <c r="G178" s="131"/>
      <c r="H178" s="131">
        <f>SUM(H174:H177)</f>
        <v>4904.21</v>
      </c>
      <c r="I178" s="131"/>
      <c r="J178" s="131">
        <f>SUM(J174:J177)</f>
        <v>4904.21</v>
      </c>
      <c r="K178" s="131">
        <f t="shared" si="12"/>
        <v>0</v>
      </c>
      <c r="L178" s="131">
        <f t="shared" si="13"/>
        <v>872.2700000000004</v>
      </c>
      <c r="M178" s="131">
        <f t="shared" si="14"/>
        <v>13834.380000000001</v>
      </c>
    </row>
    <row r="179" spans="1:13" ht="12.75">
      <c r="A179" s="138" t="s">
        <v>152</v>
      </c>
      <c r="B179" s="139">
        <f>SUM(B178+B169+B120)</f>
        <v>205590</v>
      </c>
      <c r="C179" s="139">
        <f>SUM(C178+C169+C120)</f>
        <v>149755.25</v>
      </c>
      <c r="D179" s="139">
        <f aca="true" t="shared" si="15" ref="D179:K179">SUM(D178+D169+D120)</f>
        <v>132377.05</v>
      </c>
      <c r="E179" s="139">
        <f t="shared" si="15"/>
        <v>17378.579999999998</v>
      </c>
      <c r="F179" s="139">
        <f t="shared" si="15"/>
        <v>55834.75</v>
      </c>
      <c r="G179" s="139">
        <f t="shared" si="15"/>
        <v>0</v>
      </c>
      <c r="H179" s="139">
        <f t="shared" si="15"/>
        <v>93352.80000000002</v>
      </c>
      <c r="I179" s="139">
        <f t="shared" si="15"/>
        <v>-21</v>
      </c>
      <c r="J179" s="139">
        <f t="shared" si="15"/>
        <v>15678.39</v>
      </c>
      <c r="K179" s="139">
        <f t="shared" si="15"/>
        <v>77674.41000000002</v>
      </c>
      <c r="L179" s="139">
        <f>SUM(L178+L169+L120)</f>
        <v>95052.99000000002</v>
      </c>
      <c r="M179" s="139">
        <f>SUM(M178+M169+M120)</f>
        <v>148055.44</v>
      </c>
    </row>
    <row r="180" spans="1:13" ht="12.75">
      <c r="A180" s="122"/>
      <c r="B180" s="123"/>
      <c r="C180" s="123"/>
      <c r="D180" s="123"/>
      <c r="E180" s="123"/>
      <c r="F180" s="123"/>
      <c r="G180" s="123"/>
      <c r="H180" s="128"/>
      <c r="I180" s="123"/>
      <c r="J180" s="128"/>
      <c r="K180" s="123"/>
      <c r="L180" s="123"/>
      <c r="M180" s="123"/>
    </row>
    <row r="181" spans="1:13" ht="12.75">
      <c r="A181" s="140" t="s">
        <v>153</v>
      </c>
      <c r="B181" s="141">
        <f>ENTRATE!B96-USCITE!B179</f>
        <v>0</v>
      </c>
      <c r="C181" s="141">
        <f>ENTRATE!C96-USCITE!C179</f>
        <v>51200.46000000002</v>
      </c>
      <c r="D181" s="141"/>
      <c r="E181" s="141"/>
      <c r="F181" s="141"/>
      <c r="G181" s="141"/>
      <c r="H181" s="141"/>
      <c r="I181" s="141"/>
      <c r="J181" s="141"/>
      <c r="K181" s="141"/>
      <c r="L181" s="141"/>
      <c r="M181" s="142" t="s">
        <v>61</v>
      </c>
    </row>
    <row r="182" spans="1:13" ht="12.75">
      <c r="A182" s="140" t="s">
        <v>154</v>
      </c>
      <c r="B182" s="142" t="s">
        <v>61</v>
      </c>
      <c r="C182" s="142"/>
      <c r="D182" s="142"/>
      <c r="E182" s="142"/>
      <c r="F182" s="142"/>
      <c r="G182" s="142"/>
      <c r="H182" s="142"/>
      <c r="I182" s="142"/>
      <c r="J182" s="142"/>
      <c r="K182" s="142"/>
      <c r="L182" s="142"/>
      <c r="M182" s="141"/>
    </row>
    <row r="183" spans="1:13" ht="12.75">
      <c r="A183" s="122"/>
      <c r="B183" s="123"/>
      <c r="C183" s="123"/>
      <c r="D183" s="123"/>
      <c r="E183" s="123"/>
      <c r="F183" s="123"/>
      <c r="G183" s="123"/>
      <c r="H183" s="128"/>
      <c r="I183" s="123"/>
      <c r="J183" s="128"/>
      <c r="K183" s="123"/>
      <c r="L183" s="123"/>
      <c r="M183" s="123"/>
    </row>
    <row r="184" spans="1:13" ht="13.5" thickBot="1">
      <c r="A184" s="143" t="s">
        <v>59</v>
      </c>
      <c r="B184" s="144">
        <f>B179+B181</f>
        <v>205590</v>
      </c>
      <c r="C184" s="144">
        <f>C179+C181</f>
        <v>200955.71000000002</v>
      </c>
      <c r="D184" s="144"/>
      <c r="E184" s="144"/>
      <c r="F184" s="144"/>
      <c r="G184" s="144"/>
      <c r="H184" s="249"/>
      <c r="I184" s="144"/>
      <c r="J184" s="249"/>
      <c r="K184" s="144"/>
      <c r="L184" s="144"/>
      <c r="M184" s="145">
        <f>M179+M182</f>
        <v>148055.44</v>
      </c>
    </row>
    <row r="185" ht="12.75"/>
    <row r="186" ht="12.75"/>
    <row r="187" spans="2:5" ht="12.75" hidden="1">
      <c r="B187" s="57" t="s">
        <v>390</v>
      </c>
      <c r="C187" s="57">
        <f>236.89+247.65+242.16+245.75+257.54+246.28+242.61+242.58+246.09+246.09+236.07+229.91+875.73+555.38-81.53-73.64-81.53-78.9-81.53-78.9-81.53-81.53-78.9-26.37-55.16-78.9-81.58</f>
        <v>3390.73</v>
      </c>
      <c r="D187" s="123">
        <f>236.89+247.65+242.16+245.75+257.54+246.28+242.61+242.58+246.09+246.09+229.91+236.07+875.73-81.53-73.64-81.53-78.9-81.53-78.9-81.53-81.53-78.9-26.37-55.16-78.9</f>
        <v>2916.9299999999994</v>
      </c>
      <c r="E187" s="147">
        <f>C187-D187</f>
        <v>473.80000000000064</v>
      </c>
    </row>
    <row r="188" spans="2:7" ht="12.75" hidden="1">
      <c r="B188" s="57" t="s">
        <v>391</v>
      </c>
      <c r="C188" s="57">
        <f>8452.77-438.73-438.73-438.73-438.73-453.77-438.73-438.73-438.73-438.73-432.21-948.65-839.35</f>
        <v>2268.9500000000035</v>
      </c>
      <c r="D188" s="57">
        <f>(8452.77-438.73-438.73-438.73-438.73-453.77-438.73-438.73-438.73-438.73-432.21-948.65-839.35)-307.65</f>
        <v>1961.3000000000034</v>
      </c>
      <c r="E188" s="57">
        <f>C188-D188</f>
        <v>307.6500000000001</v>
      </c>
      <c r="G188" s="57">
        <v>19783</v>
      </c>
    </row>
    <row r="189" spans="2:7" ht="12.75" hidden="1">
      <c r="B189" s="57" t="s">
        <v>392</v>
      </c>
      <c r="C189" s="57">
        <f>13.46*13</f>
        <v>174.98000000000002</v>
      </c>
      <c r="D189" s="57">
        <f>13.46*11</f>
        <v>148.06</v>
      </c>
      <c r="E189" s="57">
        <f>C189-D189</f>
        <v>26.920000000000016</v>
      </c>
      <c r="G189" s="57">
        <f>SUM(C187:C189)</f>
        <v>5834.6600000000035</v>
      </c>
    </row>
    <row r="190" spans="2:7" ht="12.75" hidden="1">
      <c r="B190" s="57" t="s">
        <v>394</v>
      </c>
      <c r="C190" s="57">
        <v>3369.85</v>
      </c>
      <c r="E190" s="57">
        <f>C190-D190</f>
        <v>3369.85</v>
      </c>
      <c r="G190" s="57">
        <f>SUM(G188:G189)</f>
        <v>25617.660000000003</v>
      </c>
    </row>
    <row r="191" spans="2:7" ht="12.75" hidden="1">
      <c r="B191" s="57" t="s">
        <v>396</v>
      </c>
      <c r="C191" s="162">
        <v>321</v>
      </c>
      <c r="D191" s="57">
        <v>321</v>
      </c>
      <c r="E191" s="57">
        <f aca="true" t="shared" si="16" ref="E191:E207">C191-D191</f>
        <v>0</v>
      </c>
      <c r="G191" s="57">
        <v>24663.97</v>
      </c>
    </row>
    <row r="192" spans="2:7" ht="12.75" hidden="1">
      <c r="B192" s="57" t="s">
        <v>397</v>
      </c>
      <c r="C192" s="162">
        <v>203.75</v>
      </c>
      <c r="D192" s="57">
        <v>203.75</v>
      </c>
      <c r="E192" s="57">
        <f t="shared" si="16"/>
        <v>0</v>
      </c>
      <c r="G192" s="57">
        <f>G190-G191</f>
        <v>953.6900000000023</v>
      </c>
    </row>
    <row r="193" spans="2:7" ht="12.75" hidden="1">
      <c r="B193" s="57" t="s">
        <v>398</v>
      </c>
      <c r="C193" s="153">
        <v>18.75</v>
      </c>
      <c r="D193" s="57">
        <v>18.75</v>
      </c>
      <c r="E193" s="57">
        <f t="shared" si="16"/>
        <v>0</v>
      </c>
      <c r="G193" s="57">
        <v>5.02</v>
      </c>
    </row>
    <row r="194" spans="2:7" ht="12.75" hidden="1">
      <c r="B194" s="57" t="s">
        <v>399</v>
      </c>
      <c r="C194" s="153">
        <v>18.75</v>
      </c>
      <c r="D194" s="57">
        <v>18.75</v>
      </c>
      <c r="E194" s="57">
        <f t="shared" si="16"/>
        <v>0</v>
      </c>
      <c r="G194" s="57">
        <f>SUM(G192:G193)</f>
        <v>958.7100000000023</v>
      </c>
    </row>
    <row r="195" spans="2:5" ht="12.75" hidden="1">
      <c r="B195" s="57" t="s">
        <v>400</v>
      </c>
      <c r="C195" s="153">
        <v>12.5</v>
      </c>
      <c r="D195" s="57">
        <v>12.5</v>
      </c>
      <c r="E195" s="57">
        <f t="shared" si="16"/>
        <v>0</v>
      </c>
    </row>
    <row r="196" spans="2:5" ht="12.75" hidden="1">
      <c r="B196" s="57" t="s">
        <v>401</v>
      </c>
      <c r="C196" s="153">
        <v>25</v>
      </c>
      <c r="D196" s="57">
        <v>25</v>
      </c>
      <c r="E196" s="57">
        <f t="shared" si="16"/>
        <v>0</v>
      </c>
    </row>
    <row r="197" spans="2:5" ht="12.75" hidden="1">
      <c r="B197" s="57" t="s">
        <v>402</v>
      </c>
      <c r="C197" s="153">
        <v>25</v>
      </c>
      <c r="D197" s="57">
        <v>25</v>
      </c>
      <c r="E197" s="57">
        <f t="shared" si="16"/>
        <v>0</v>
      </c>
    </row>
    <row r="198" spans="2:5" ht="12.75" hidden="1">
      <c r="B198" s="57" t="s">
        <v>403</v>
      </c>
      <c r="C198" s="162">
        <v>12</v>
      </c>
      <c r="D198" s="57">
        <v>12</v>
      </c>
      <c r="E198" s="57">
        <f t="shared" si="16"/>
        <v>0</v>
      </c>
    </row>
    <row r="199" spans="2:5" ht="12.75" hidden="1">
      <c r="B199" s="57" t="s">
        <v>403</v>
      </c>
      <c r="C199" s="162">
        <v>24</v>
      </c>
      <c r="D199" s="57">
        <v>24</v>
      </c>
      <c r="E199" s="57">
        <f t="shared" si="16"/>
        <v>0</v>
      </c>
    </row>
    <row r="200" spans="2:5" ht="12.75" hidden="1">
      <c r="B200" s="57" t="s">
        <v>404</v>
      </c>
      <c r="C200" s="153">
        <v>25</v>
      </c>
      <c r="D200" s="57">
        <v>25</v>
      </c>
      <c r="E200" s="57">
        <f t="shared" si="16"/>
        <v>0</v>
      </c>
    </row>
    <row r="201" spans="2:5" ht="12.75" hidden="1">
      <c r="B201" s="57" t="s">
        <v>405</v>
      </c>
      <c r="C201" s="153">
        <v>10</v>
      </c>
      <c r="D201" s="57">
        <v>10</v>
      </c>
      <c r="E201" s="57">
        <f t="shared" si="16"/>
        <v>0</v>
      </c>
    </row>
    <row r="202" spans="2:5" ht="12.75" hidden="1">
      <c r="B202" s="57" t="s">
        <v>406</v>
      </c>
      <c r="C202" s="153">
        <v>94.97</v>
      </c>
      <c r="D202" s="57">
        <v>94.97</v>
      </c>
      <c r="E202" s="57">
        <f t="shared" si="16"/>
        <v>0</v>
      </c>
    </row>
    <row r="203" spans="2:5" ht="12.75" hidden="1">
      <c r="B203" s="57" t="s">
        <v>407</v>
      </c>
      <c r="C203" s="153">
        <v>28</v>
      </c>
      <c r="D203" s="57">
        <v>0</v>
      </c>
      <c r="E203" s="57">
        <f t="shared" si="16"/>
        <v>28</v>
      </c>
    </row>
    <row r="204" spans="2:5" ht="12.75" hidden="1">
      <c r="B204" s="57" t="s">
        <v>408</v>
      </c>
      <c r="C204" s="153">
        <v>11.2</v>
      </c>
      <c r="D204" s="57">
        <v>0</v>
      </c>
      <c r="E204" s="57">
        <f t="shared" si="16"/>
        <v>11.2</v>
      </c>
    </row>
    <row r="205" spans="2:5" ht="12.75" hidden="1">
      <c r="B205" s="57" t="s">
        <v>409</v>
      </c>
      <c r="C205" s="153">
        <v>55.6</v>
      </c>
      <c r="D205" s="57">
        <v>0</v>
      </c>
      <c r="E205" s="57">
        <f t="shared" si="16"/>
        <v>55.6</v>
      </c>
    </row>
    <row r="206" spans="2:5" ht="12.75" hidden="1">
      <c r="B206" s="57" t="s">
        <v>410</v>
      </c>
      <c r="C206" s="153">
        <v>22.24</v>
      </c>
      <c r="D206" s="57">
        <v>0</v>
      </c>
      <c r="E206" s="57">
        <f t="shared" si="16"/>
        <v>22.24</v>
      </c>
    </row>
    <row r="207" spans="2:5" ht="12.75" hidden="1">
      <c r="B207" s="57" t="s">
        <v>411</v>
      </c>
      <c r="C207" s="162">
        <v>608.95</v>
      </c>
      <c r="D207" s="57">
        <v>0</v>
      </c>
      <c r="E207" s="57">
        <f t="shared" si="16"/>
        <v>608.95</v>
      </c>
    </row>
    <row r="208" ht="12.75" hidden="1"/>
    <row r="209" ht="12.75" hidden="1">
      <c r="C209" s="123"/>
    </row>
    <row r="210" spans="3:5" ht="12.75" hidden="1">
      <c r="C210" s="123">
        <f>SUM(C187:C209)</f>
        <v>10721.220000000005</v>
      </c>
      <c r="D210" s="147">
        <f>SUM(D187:D209)</f>
        <v>5817.010000000004</v>
      </c>
      <c r="E210" s="147">
        <f>SUM(E187:E209)</f>
        <v>4904.210000000001</v>
      </c>
    </row>
    <row r="211" ht="12.75" hidden="1"/>
    <row r="212" ht="12.75" hidden="1">
      <c r="C212" s="57">
        <f>C193+C194+C195+C196+C197+C200+C201+C202+C203+C204+C205+C206+C207--C204-C201</f>
        <v>957.1600000000001</v>
      </c>
    </row>
    <row r="213" ht="12.75" hidden="1"/>
    <row r="214" spans="3:6" ht="12.75" hidden="1">
      <c r="C214" s="57">
        <f>C191+C192+C193+C194+C195+C196+C197+C198+C199+C200+C202+C203+C205+C207</f>
        <v>1473.27</v>
      </c>
      <c r="D214" s="57">
        <f>C191+C192+C198+C199+C207</f>
        <v>1169.7</v>
      </c>
      <c r="E214" s="57">
        <f>C214-D214</f>
        <v>303.56999999999994</v>
      </c>
      <c r="F214" s="57" t="s">
        <v>448</v>
      </c>
    </row>
    <row r="220" ht="12.75"/>
    <row r="221" ht="12.75"/>
    <row r="222" ht="12.75"/>
    <row r="223" ht="12.75"/>
    <row r="224" ht="12.75"/>
    <row r="225" ht="12.75"/>
  </sheetData>
  <sheetProtection selectLockedCells="1" selectUnlockedCells="1"/>
  <mergeCells count="2">
    <mergeCell ref="C4:E4"/>
    <mergeCell ref="H4:L4"/>
  </mergeCells>
  <printOptions/>
  <pageMargins left="0" right="0" top="0.7480314960629921" bottom="0.7480314960629921" header="0.31496062992125984" footer="0.31496062992125984"/>
  <pageSetup horizontalDpi="600" verticalDpi="600" orientation="landscape" paperSize="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9"/>
  <sheetViews>
    <sheetView zoomScalePageLayoutView="0" workbookViewId="0" topLeftCell="A1">
      <selection activeCell="B79" sqref="B79"/>
    </sheetView>
  </sheetViews>
  <sheetFormatPr defaultColWidth="9.140625" defaultRowHeight="15"/>
  <cols>
    <col min="1" max="1" width="45.421875" style="102" bestFit="1" customWidth="1"/>
    <col min="2" max="2" width="17.8515625" style="101" customWidth="1"/>
    <col min="3" max="3" width="21.57421875" style="102" customWidth="1"/>
    <col min="4" max="4" width="23.421875" style="102" customWidth="1"/>
    <col min="5" max="5" width="18.140625" style="102" customWidth="1"/>
    <col min="6" max="6" width="22.00390625" style="102" bestFit="1" customWidth="1"/>
    <col min="7" max="16384" width="9.140625" style="102" customWidth="1"/>
  </cols>
  <sheetData>
    <row r="1" ht="18.75">
      <c r="A1" s="3" t="s">
        <v>286</v>
      </c>
    </row>
    <row r="2" spans="1:6" ht="18.75">
      <c r="A2" s="103"/>
      <c r="B2" s="103"/>
      <c r="C2" s="103"/>
      <c r="D2" s="103"/>
      <c r="E2" s="103"/>
      <c r="F2" s="103"/>
    </row>
    <row r="3" spans="1:6" ht="56.25">
      <c r="A3" s="103"/>
      <c r="B3" s="104" t="s">
        <v>287</v>
      </c>
      <c r="C3" s="104" t="s">
        <v>288</v>
      </c>
      <c r="D3" s="105" t="s">
        <v>289</v>
      </c>
      <c r="E3" s="105" t="s">
        <v>290</v>
      </c>
      <c r="F3" s="106" t="s">
        <v>291</v>
      </c>
    </row>
    <row r="4" spans="1:6" ht="18.75">
      <c r="A4" s="103"/>
      <c r="B4" s="107" t="s">
        <v>292</v>
      </c>
      <c r="C4" s="104" t="s">
        <v>293</v>
      </c>
      <c r="D4" s="104" t="s">
        <v>294</v>
      </c>
      <c r="E4" s="104" t="s">
        <v>295</v>
      </c>
      <c r="F4" s="107"/>
    </row>
    <row r="5" spans="1:6" ht="18.75">
      <c r="A5" s="108" t="s">
        <v>296</v>
      </c>
      <c r="B5" s="109">
        <v>289.53</v>
      </c>
      <c r="C5" s="110"/>
      <c r="D5" s="111">
        <v>32.94</v>
      </c>
      <c r="E5" s="111"/>
      <c r="F5" s="112">
        <f>B5-C5-D5+E5</f>
        <v>256.59</v>
      </c>
    </row>
    <row r="6" spans="1:6" ht="18.75">
      <c r="A6" s="108" t="s">
        <v>297</v>
      </c>
      <c r="B6" s="109">
        <v>34.99</v>
      </c>
      <c r="C6" s="110"/>
      <c r="D6" s="111"/>
      <c r="E6" s="111"/>
      <c r="F6" s="112">
        <f aca="true" t="shared" si="0" ref="F6:F58">B6-C6-D6+E6</f>
        <v>34.99</v>
      </c>
    </row>
    <row r="7" spans="1:6" ht="18.75">
      <c r="A7" s="108" t="s">
        <v>298</v>
      </c>
      <c r="B7" s="109">
        <v>1068.51</v>
      </c>
      <c r="C7" s="110"/>
      <c r="D7" s="111">
        <v>16.84</v>
      </c>
      <c r="E7" s="111"/>
      <c r="F7" s="112">
        <f t="shared" si="0"/>
        <v>1051.67</v>
      </c>
    </row>
    <row r="8" spans="1:6" ht="18.75">
      <c r="A8" s="108" t="s">
        <v>299</v>
      </c>
      <c r="B8" s="109">
        <v>6612.4</v>
      </c>
      <c r="C8" s="110"/>
      <c r="D8" s="111">
        <v>6612.4</v>
      </c>
      <c r="E8" s="111"/>
      <c r="F8" s="112">
        <f t="shared" si="0"/>
        <v>0</v>
      </c>
    </row>
    <row r="9" spans="1:6" ht="18.75">
      <c r="A9" s="108" t="s">
        <v>300</v>
      </c>
      <c r="B9" s="109">
        <v>280.6</v>
      </c>
      <c r="C9" s="110"/>
      <c r="D9" s="111"/>
      <c r="E9" s="111"/>
      <c r="F9" s="112">
        <f t="shared" si="0"/>
        <v>280.6</v>
      </c>
    </row>
    <row r="10" spans="1:6" ht="18.75">
      <c r="A10" s="108" t="s">
        <v>301</v>
      </c>
      <c r="B10" s="109">
        <v>8.45</v>
      </c>
      <c r="C10" s="110"/>
      <c r="D10" s="111"/>
      <c r="E10" s="111"/>
      <c r="F10" s="112">
        <f t="shared" si="0"/>
        <v>8.45</v>
      </c>
    </row>
    <row r="11" spans="1:6" ht="18.75">
      <c r="A11" s="108" t="s">
        <v>302</v>
      </c>
      <c r="B11" s="109">
        <v>911.5</v>
      </c>
      <c r="C11" s="110"/>
      <c r="D11" s="111">
        <v>24.4</v>
      </c>
      <c r="E11" s="111"/>
      <c r="F11" s="112">
        <f t="shared" si="0"/>
        <v>887.1</v>
      </c>
    </row>
    <row r="12" spans="1:6" ht="18.75">
      <c r="A12" s="108" t="s">
        <v>303</v>
      </c>
      <c r="B12" s="109">
        <v>3460.01</v>
      </c>
      <c r="C12" s="110"/>
      <c r="D12" s="111">
        <v>20</v>
      </c>
      <c r="E12" s="111"/>
      <c r="F12" s="112">
        <f t="shared" si="0"/>
        <v>3440.01</v>
      </c>
    </row>
    <row r="13" spans="1:6" ht="18.75">
      <c r="A13" s="108" t="s">
        <v>304</v>
      </c>
      <c r="B13" s="109">
        <v>96.16</v>
      </c>
      <c r="C13" s="110"/>
      <c r="D13" s="111"/>
      <c r="E13" s="111"/>
      <c r="F13" s="112">
        <f t="shared" si="0"/>
        <v>96.16</v>
      </c>
    </row>
    <row r="14" spans="1:6" ht="18.75">
      <c r="A14" s="108" t="s">
        <v>305</v>
      </c>
      <c r="B14" s="109">
        <v>1577.95</v>
      </c>
      <c r="C14" s="110"/>
      <c r="D14" s="111">
        <v>96.79</v>
      </c>
      <c r="E14" s="111"/>
      <c r="F14" s="112">
        <f t="shared" si="0"/>
        <v>1481.16</v>
      </c>
    </row>
    <row r="15" spans="1:6" ht="18.75">
      <c r="A15" s="108" t="s">
        <v>306</v>
      </c>
      <c r="B15" s="109">
        <v>6820.97</v>
      </c>
      <c r="C15" s="110"/>
      <c r="D15" s="111"/>
      <c r="E15" s="111"/>
      <c r="F15" s="112">
        <f t="shared" si="0"/>
        <v>6820.97</v>
      </c>
    </row>
    <row r="16" spans="1:6" ht="18.75">
      <c r="A16" s="108" t="s">
        <v>66</v>
      </c>
      <c r="B16" s="109">
        <v>2656.08</v>
      </c>
      <c r="C16" s="110"/>
      <c r="D16" s="111"/>
      <c r="E16" s="111"/>
      <c r="F16" s="112">
        <f t="shared" si="0"/>
        <v>2656.08</v>
      </c>
    </row>
    <row r="17" spans="1:6" ht="18.75">
      <c r="A17" s="108" t="s">
        <v>307</v>
      </c>
      <c r="B17" s="109">
        <v>1410.36</v>
      </c>
      <c r="C17" s="110"/>
      <c r="D17" s="111"/>
      <c r="E17" s="111"/>
      <c r="F17" s="112">
        <f t="shared" si="0"/>
        <v>1410.36</v>
      </c>
    </row>
    <row r="18" spans="1:6" ht="18.75">
      <c r="A18" s="108" t="s">
        <v>308</v>
      </c>
      <c r="B18" s="109">
        <v>547.81</v>
      </c>
      <c r="C18" s="110"/>
      <c r="D18" s="111">
        <f>500+6.83</f>
        <v>506.83</v>
      </c>
      <c r="E18" s="111"/>
      <c r="F18" s="112">
        <f t="shared" si="0"/>
        <v>40.97999999999996</v>
      </c>
    </row>
    <row r="19" spans="1:6" ht="18.75">
      <c r="A19" s="108" t="s">
        <v>309</v>
      </c>
      <c r="B19" s="109">
        <v>562.18</v>
      </c>
      <c r="C19" s="110"/>
      <c r="D19" s="111"/>
      <c r="E19" s="111"/>
      <c r="F19" s="112">
        <f t="shared" si="0"/>
        <v>562.18</v>
      </c>
    </row>
    <row r="20" spans="1:6" ht="18.75">
      <c r="A20" s="108" t="s">
        <v>310</v>
      </c>
      <c r="B20" s="109">
        <v>3425.76</v>
      </c>
      <c r="C20" s="110"/>
      <c r="D20" s="111"/>
      <c r="E20" s="111"/>
      <c r="F20" s="112">
        <f t="shared" si="0"/>
        <v>3425.76</v>
      </c>
    </row>
    <row r="21" spans="1:6" ht="18.75">
      <c r="A21" s="108" t="s">
        <v>95</v>
      </c>
      <c r="B21" s="109">
        <v>564.9</v>
      </c>
      <c r="C21" s="110"/>
      <c r="D21" s="111">
        <v>339.9</v>
      </c>
      <c r="E21" s="111"/>
      <c r="F21" s="112">
        <f t="shared" si="0"/>
        <v>225</v>
      </c>
    </row>
    <row r="22" spans="1:6" ht="18.75">
      <c r="A22" s="108" t="s">
        <v>311</v>
      </c>
      <c r="B22" s="109">
        <v>1409.91</v>
      </c>
      <c r="C22" s="110"/>
      <c r="D22" s="111">
        <v>-59.99</v>
      </c>
      <c r="E22" s="111"/>
      <c r="F22" s="112">
        <f t="shared" si="0"/>
        <v>1469.9</v>
      </c>
    </row>
    <row r="23" spans="1:6" ht="18.75">
      <c r="A23" s="108" t="s">
        <v>312</v>
      </c>
      <c r="B23" s="109">
        <v>1498.22</v>
      </c>
      <c r="C23" s="110"/>
      <c r="D23" s="111"/>
      <c r="E23" s="111"/>
      <c r="F23" s="112">
        <f t="shared" si="0"/>
        <v>1498.22</v>
      </c>
    </row>
    <row r="24" spans="1:6" ht="18.75">
      <c r="A24" s="108" t="s">
        <v>313</v>
      </c>
      <c r="B24" s="109">
        <v>169.39</v>
      </c>
      <c r="C24" s="110"/>
      <c r="D24" s="111">
        <v>-15</v>
      </c>
      <c r="E24" s="111"/>
      <c r="F24" s="112">
        <f t="shared" si="0"/>
        <v>184.39</v>
      </c>
    </row>
    <row r="25" spans="1:6" ht="18.75">
      <c r="A25" s="108" t="s">
        <v>314</v>
      </c>
      <c r="B25" s="109">
        <v>8608.81</v>
      </c>
      <c r="C25" s="110"/>
      <c r="D25" s="111"/>
      <c r="E25" s="111"/>
      <c r="F25" s="112">
        <f t="shared" si="0"/>
        <v>8608.81</v>
      </c>
    </row>
    <row r="26" spans="1:6" ht="18.75">
      <c r="A26" s="108" t="s">
        <v>315</v>
      </c>
      <c r="B26" s="109">
        <v>1900</v>
      </c>
      <c r="C26" s="110"/>
      <c r="D26" s="111"/>
      <c r="E26" s="111"/>
      <c r="F26" s="112">
        <f t="shared" si="0"/>
        <v>1900</v>
      </c>
    </row>
    <row r="27" spans="1:6" ht="18.75">
      <c r="A27" s="108" t="s">
        <v>316</v>
      </c>
      <c r="B27" s="109">
        <v>487.1</v>
      </c>
      <c r="C27" s="110"/>
      <c r="D27" s="111"/>
      <c r="E27" s="111"/>
      <c r="F27" s="112">
        <f t="shared" si="0"/>
        <v>487.1</v>
      </c>
    </row>
    <row r="28" spans="1:6" ht="18.75">
      <c r="A28" s="108" t="s">
        <v>317</v>
      </c>
      <c r="B28" s="109">
        <v>545.26</v>
      </c>
      <c r="C28" s="110"/>
      <c r="D28" s="111"/>
      <c r="E28" s="111"/>
      <c r="F28" s="112">
        <f t="shared" si="0"/>
        <v>545.26</v>
      </c>
    </row>
    <row r="29" spans="1:6" ht="18.75">
      <c r="A29" s="108" t="s">
        <v>318</v>
      </c>
      <c r="B29" s="109">
        <v>1682.18</v>
      </c>
      <c r="C29" s="110"/>
      <c r="D29" s="111"/>
      <c r="E29" s="111"/>
      <c r="F29" s="112">
        <f t="shared" si="0"/>
        <v>1682.18</v>
      </c>
    </row>
    <row r="30" spans="1:6" ht="18.75">
      <c r="A30" s="108" t="s">
        <v>319</v>
      </c>
      <c r="B30" s="109">
        <v>384.3</v>
      </c>
      <c r="C30" s="110"/>
      <c r="D30" s="111">
        <v>384.3</v>
      </c>
      <c r="E30" s="111"/>
      <c r="F30" s="112">
        <f t="shared" si="0"/>
        <v>0</v>
      </c>
    </row>
    <row r="31" spans="1:6" ht="18.75">
      <c r="A31" s="108" t="s">
        <v>320</v>
      </c>
      <c r="B31" s="109">
        <v>875</v>
      </c>
      <c r="C31" s="110"/>
      <c r="D31" s="111"/>
      <c r="E31" s="111"/>
      <c r="F31" s="112">
        <f t="shared" si="0"/>
        <v>875</v>
      </c>
    </row>
    <row r="32" spans="1:6" ht="18.75">
      <c r="A32" s="108" t="s">
        <v>321</v>
      </c>
      <c r="B32" s="109">
        <v>16825.18</v>
      </c>
      <c r="C32" s="110"/>
      <c r="D32" s="111"/>
      <c r="E32" s="111"/>
      <c r="F32" s="112">
        <f t="shared" si="0"/>
        <v>16825.18</v>
      </c>
    </row>
    <row r="33" spans="1:6" ht="18.75">
      <c r="A33" s="108" t="s">
        <v>322</v>
      </c>
      <c r="B33" s="109">
        <v>571.84</v>
      </c>
      <c r="C33" s="110"/>
      <c r="D33" s="111"/>
      <c r="E33" s="111">
        <v>160.44</v>
      </c>
      <c r="F33" s="112">
        <f t="shared" si="0"/>
        <v>732.28</v>
      </c>
    </row>
    <row r="34" spans="1:6" ht="18.75">
      <c r="A34" s="108" t="s">
        <v>323</v>
      </c>
      <c r="B34" s="109">
        <v>19622.69</v>
      </c>
      <c r="C34" s="110"/>
      <c r="D34" s="111"/>
      <c r="E34" s="111"/>
      <c r="F34" s="112">
        <f t="shared" si="0"/>
        <v>19622.69</v>
      </c>
    </row>
    <row r="35" spans="1:6" ht="18.75">
      <c r="A35" s="108" t="s">
        <v>324</v>
      </c>
      <c r="B35" s="109">
        <v>5441.93</v>
      </c>
      <c r="C35" s="110"/>
      <c r="D35" s="111"/>
      <c r="E35" s="111"/>
      <c r="F35" s="112">
        <f t="shared" si="0"/>
        <v>5441.93</v>
      </c>
    </row>
    <row r="36" spans="1:6" ht="18.75">
      <c r="A36" s="108" t="s">
        <v>325</v>
      </c>
      <c r="B36" s="109">
        <v>1707.77</v>
      </c>
      <c r="C36" s="110"/>
      <c r="D36" s="111">
        <v>1707.77</v>
      </c>
      <c r="E36" s="111"/>
      <c r="F36" s="112">
        <f t="shared" si="0"/>
        <v>0</v>
      </c>
    </row>
    <row r="37" spans="1:6" ht="18.75">
      <c r="A37" s="108" t="s">
        <v>326</v>
      </c>
      <c r="B37" s="109">
        <v>186.4</v>
      </c>
      <c r="C37" s="110"/>
      <c r="D37" s="111"/>
      <c r="E37" s="111"/>
      <c r="F37" s="112">
        <f t="shared" si="0"/>
        <v>186.4</v>
      </c>
    </row>
    <row r="38" spans="1:6" ht="18.75">
      <c r="A38" s="108" t="s">
        <v>327</v>
      </c>
      <c r="B38" s="109">
        <v>415.03</v>
      </c>
      <c r="C38" s="110"/>
      <c r="D38" s="111">
        <v>415.03</v>
      </c>
      <c r="E38" s="111"/>
      <c r="F38" s="112">
        <f t="shared" si="0"/>
        <v>0</v>
      </c>
    </row>
    <row r="39" spans="1:6" ht="18.75">
      <c r="A39" s="108" t="s">
        <v>328</v>
      </c>
      <c r="B39" s="109">
        <v>981.66</v>
      </c>
      <c r="C39" s="110"/>
      <c r="D39" s="111">
        <v>981.66</v>
      </c>
      <c r="E39" s="111"/>
      <c r="F39" s="112">
        <f t="shared" si="0"/>
        <v>0</v>
      </c>
    </row>
    <row r="40" spans="1:6" ht="18.75">
      <c r="A40" s="108" t="s">
        <v>329</v>
      </c>
      <c r="B40" s="109">
        <v>1176.66</v>
      </c>
      <c r="C40" s="110"/>
      <c r="D40" s="111">
        <v>1176.66</v>
      </c>
      <c r="E40" s="111"/>
      <c r="F40" s="112">
        <f t="shared" si="0"/>
        <v>0</v>
      </c>
    </row>
    <row r="41" spans="1:6" ht="18.75">
      <c r="A41" s="108" t="s">
        <v>330</v>
      </c>
      <c r="B41" s="109">
        <v>575.04</v>
      </c>
      <c r="C41" s="110"/>
      <c r="D41" s="111">
        <v>575.04</v>
      </c>
      <c r="E41" s="111"/>
      <c r="F41" s="112">
        <f t="shared" si="0"/>
        <v>0</v>
      </c>
    </row>
    <row r="42" spans="1:6" ht="18.75">
      <c r="A42" s="108" t="s">
        <v>331</v>
      </c>
      <c r="B42" s="109">
        <v>35000</v>
      </c>
      <c r="C42" s="110"/>
      <c r="D42" s="111">
        <v>35000</v>
      </c>
      <c r="E42" s="111"/>
      <c r="F42" s="112">
        <f t="shared" si="0"/>
        <v>0</v>
      </c>
    </row>
    <row r="43" spans="1:6" ht="18.75">
      <c r="A43" s="108" t="s">
        <v>332</v>
      </c>
      <c r="B43" s="109">
        <v>3052.1</v>
      </c>
      <c r="C43" s="110"/>
      <c r="D43" s="111">
        <v>3052.1</v>
      </c>
      <c r="E43" s="111"/>
      <c r="F43" s="112">
        <f t="shared" si="0"/>
        <v>0</v>
      </c>
    </row>
    <row r="44" spans="1:6" ht="18.75">
      <c r="A44" s="108" t="s">
        <v>333</v>
      </c>
      <c r="B44" s="109">
        <v>70.94</v>
      </c>
      <c r="C44" s="110"/>
      <c r="D44" s="111"/>
      <c r="E44" s="111"/>
      <c r="F44" s="112">
        <f t="shared" si="0"/>
        <v>70.94</v>
      </c>
    </row>
    <row r="45" spans="1:6" ht="18.75">
      <c r="A45" s="108" t="s">
        <v>334</v>
      </c>
      <c r="B45" s="109">
        <v>76</v>
      </c>
      <c r="C45" s="110"/>
      <c r="D45" s="111"/>
      <c r="E45" s="111"/>
      <c r="F45" s="112">
        <f t="shared" si="0"/>
        <v>76</v>
      </c>
    </row>
    <row r="46" spans="1:6" ht="18.75">
      <c r="A46" s="108" t="s">
        <v>335</v>
      </c>
      <c r="B46" s="109">
        <v>168</v>
      </c>
      <c r="C46" s="110"/>
      <c r="D46" s="111"/>
      <c r="E46" s="111"/>
      <c r="F46" s="112">
        <f t="shared" si="0"/>
        <v>168</v>
      </c>
    </row>
    <row r="47" spans="1:6" ht="18.75">
      <c r="A47" s="108" t="s">
        <v>336</v>
      </c>
      <c r="B47" s="109">
        <v>3.1</v>
      </c>
      <c r="C47" s="110"/>
      <c r="D47" s="111"/>
      <c r="E47" s="111"/>
      <c r="F47" s="112">
        <f t="shared" si="0"/>
        <v>3.1</v>
      </c>
    </row>
    <row r="48" spans="1:6" ht="18.75">
      <c r="A48" s="108" t="s">
        <v>337</v>
      </c>
      <c r="B48" s="109">
        <v>12.06</v>
      </c>
      <c r="C48" s="110"/>
      <c r="D48" s="111"/>
      <c r="E48" s="111"/>
      <c r="F48" s="112">
        <f t="shared" si="0"/>
        <v>12.06</v>
      </c>
    </row>
    <row r="49" spans="1:6" ht="18.75">
      <c r="A49" s="108" t="s">
        <v>338</v>
      </c>
      <c r="B49" s="109">
        <v>490</v>
      </c>
      <c r="C49" s="110"/>
      <c r="D49" s="111"/>
      <c r="E49" s="111"/>
      <c r="F49" s="112">
        <f t="shared" si="0"/>
        <v>490</v>
      </c>
    </row>
    <row r="50" spans="1:6" ht="18.75">
      <c r="A50" s="108" t="s">
        <v>339</v>
      </c>
      <c r="B50" s="109">
        <v>1.45</v>
      </c>
      <c r="C50" s="110"/>
      <c r="D50" s="111"/>
      <c r="E50" s="111"/>
      <c r="F50" s="112">
        <f t="shared" si="0"/>
        <v>1.45</v>
      </c>
    </row>
    <row r="51" spans="1:6" ht="18.75">
      <c r="A51" s="108" t="s">
        <v>340</v>
      </c>
      <c r="B51" s="109">
        <v>2000</v>
      </c>
      <c r="C51" s="110"/>
      <c r="D51" s="111"/>
      <c r="E51" s="111"/>
      <c r="F51" s="112">
        <f t="shared" si="0"/>
        <v>2000</v>
      </c>
    </row>
    <row r="52" spans="1:6" ht="18.75">
      <c r="A52" s="108" t="s">
        <v>341</v>
      </c>
      <c r="B52" s="109">
        <v>340</v>
      </c>
      <c r="C52" s="110"/>
      <c r="D52" s="111"/>
      <c r="E52" s="111"/>
      <c r="F52" s="112">
        <f t="shared" si="0"/>
        <v>340</v>
      </c>
    </row>
    <row r="53" spans="1:6" ht="18.75">
      <c r="A53" s="108" t="s">
        <v>342</v>
      </c>
      <c r="B53" s="109">
        <v>24215</v>
      </c>
      <c r="C53" s="110"/>
      <c r="D53" s="111"/>
      <c r="E53" s="111"/>
      <c r="F53" s="112">
        <f t="shared" si="0"/>
        <v>24215</v>
      </c>
    </row>
    <row r="54" spans="1:6" ht="18.75">
      <c r="A54" s="108" t="s">
        <v>343</v>
      </c>
      <c r="B54" s="109">
        <v>2.86</v>
      </c>
      <c r="C54" s="110"/>
      <c r="D54" s="111"/>
      <c r="E54" s="111"/>
      <c r="F54" s="112">
        <f t="shared" si="0"/>
        <v>2.86</v>
      </c>
    </row>
    <row r="55" spans="1:6" ht="18.75">
      <c r="A55" s="108" t="s">
        <v>344</v>
      </c>
      <c r="B55" s="109">
        <v>16</v>
      </c>
      <c r="C55" s="110"/>
      <c r="D55" s="111"/>
      <c r="E55" s="111"/>
      <c r="F55" s="112">
        <f t="shared" si="0"/>
        <v>16</v>
      </c>
    </row>
    <row r="56" spans="1:6" ht="18.75">
      <c r="A56" s="108" t="s">
        <v>345</v>
      </c>
      <c r="B56" s="109">
        <v>2758.62</v>
      </c>
      <c r="C56" s="110"/>
      <c r="D56" s="111"/>
      <c r="E56" s="111"/>
      <c r="F56" s="112">
        <f t="shared" si="0"/>
        <v>2758.62</v>
      </c>
    </row>
    <row r="57" spans="1:6" ht="18.75">
      <c r="A57" s="108" t="s">
        <v>381</v>
      </c>
      <c r="B57" s="109">
        <v>87.5</v>
      </c>
      <c r="C57" s="110"/>
      <c r="D57" s="111"/>
      <c r="E57" s="111"/>
      <c r="F57" s="112">
        <f t="shared" si="0"/>
        <v>87.5</v>
      </c>
    </row>
    <row r="58" spans="1:6" ht="18.75">
      <c r="A58" s="108" t="s">
        <v>346</v>
      </c>
      <c r="B58" s="109">
        <v>2081.03</v>
      </c>
      <c r="C58" s="110"/>
      <c r="D58" s="111">
        <v>504.1</v>
      </c>
      <c r="E58" s="111">
        <v>257.3</v>
      </c>
      <c r="F58" s="112">
        <f t="shared" si="0"/>
        <v>1834.2300000000002</v>
      </c>
    </row>
    <row r="59" spans="1:6" ht="18.75">
      <c r="A59" s="113" t="s">
        <v>347</v>
      </c>
      <c r="B59" s="114">
        <f>SUM(B5:B58)</f>
        <v>165767.19</v>
      </c>
      <c r="C59" s="114">
        <f>SUM(C5:C58)</f>
        <v>0</v>
      </c>
      <c r="D59" s="114">
        <f>SUM(D5:D58)</f>
        <v>51371.77</v>
      </c>
      <c r="E59" s="114">
        <f>SUM(E5:E58)</f>
        <v>417.74</v>
      </c>
      <c r="F59" s="114">
        <f>SUM(F5:F58)</f>
        <v>114813.15999999999</v>
      </c>
    </row>
    <row r="61" ht="18.75" hidden="1"/>
    <row r="63" spans="2:6" ht="56.25">
      <c r="B63" s="107">
        <v>2015</v>
      </c>
      <c r="C63" s="104" t="s">
        <v>348</v>
      </c>
      <c r="D63" s="105" t="s">
        <v>349</v>
      </c>
      <c r="E63" s="105" t="s">
        <v>350</v>
      </c>
      <c r="F63" s="106" t="s">
        <v>291</v>
      </c>
    </row>
    <row r="64" spans="1:6" ht="18.75">
      <c r="A64" s="110" t="s">
        <v>351</v>
      </c>
      <c r="B64" s="111">
        <v>195461.3</v>
      </c>
      <c r="C64" s="110"/>
      <c r="D64" s="110"/>
      <c r="E64" s="111">
        <v>2080.65</v>
      </c>
      <c r="F64" s="112">
        <f>B64-C64-D64+E64</f>
        <v>197541.94999999998</v>
      </c>
    </row>
    <row r="65" spans="1:6" ht="18.75">
      <c r="A65" s="110" t="s">
        <v>352</v>
      </c>
      <c r="B65" s="111">
        <v>5.02</v>
      </c>
      <c r="C65" s="110"/>
      <c r="D65" s="110"/>
      <c r="E65" s="111"/>
      <c r="F65" s="112">
        <f aca="true" t="shared" si="1" ref="F65:F71">B65-C65-D65+E65</f>
        <v>5.02</v>
      </c>
    </row>
    <row r="66" spans="1:6" ht="18.75">
      <c r="A66" s="110" t="s">
        <v>353</v>
      </c>
      <c r="B66" s="111">
        <v>500</v>
      </c>
      <c r="C66" s="110"/>
      <c r="D66" s="110"/>
      <c r="E66" s="111"/>
      <c r="F66" s="112">
        <f t="shared" si="1"/>
        <v>500</v>
      </c>
    </row>
    <row r="67" spans="1:6" ht="18.75">
      <c r="A67" s="110" t="s">
        <v>354</v>
      </c>
      <c r="B67" s="111">
        <v>733.08</v>
      </c>
      <c r="C67" s="110"/>
      <c r="D67" s="110"/>
      <c r="E67" s="111"/>
      <c r="F67" s="112">
        <f t="shared" si="1"/>
        <v>733.08</v>
      </c>
    </row>
    <row r="68" spans="1:6" ht="18.75">
      <c r="A68" s="110" t="s">
        <v>355</v>
      </c>
      <c r="B68" s="111">
        <v>1100</v>
      </c>
      <c r="C68" s="110"/>
      <c r="D68" s="110"/>
      <c r="E68" s="111"/>
      <c r="F68" s="112">
        <f t="shared" si="1"/>
        <v>1100</v>
      </c>
    </row>
    <row r="69" spans="1:6" ht="18.75">
      <c r="A69" s="110" t="s">
        <v>356</v>
      </c>
      <c r="B69" s="111">
        <v>3814.86</v>
      </c>
      <c r="C69" s="110"/>
      <c r="D69" s="110"/>
      <c r="E69" s="111"/>
      <c r="F69" s="112">
        <f t="shared" si="1"/>
        <v>3814.86</v>
      </c>
    </row>
    <row r="70" spans="1:6" ht="18.75">
      <c r="A70" s="110" t="s">
        <v>357</v>
      </c>
      <c r="B70" s="111">
        <v>40</v>
      </c>
      <c r="C70" s="110"/>
      <c r="D70" s="110"/>
      <c r="E70" s="111"/>
      <c r="F70" s="112">
        <f t="shared" si="1"/>
        <v>40</v>
      </c>
    </row>
    <row r="71" spans="1:6" ht="18.75">
      <c r="A71" s="110" t="s">
        <v>358</v>
      </c>
      <c r="B71" s="111">
        <v>2136.76</v>
      </c>
      <c r="C71" s="110"/>
      <c r="D71" s="110"/>
      <c r="E71" s="111"/>
      <c r="F71" s="112">
        <f t="shared" si="1"/>
        <v>2136.76</v>
      </c>
    </row>
    <row r="72" spans="1:6" ht="18.75">
      <c r="A72" s="113" t="s">
        <v>347</v>
      </c>
      <c r="B72" s="114">
        <f>SUM(B64:B71)</f>
        <v>203791.01999999996</v>
      </c>
      <c r="C72" s="114">
        <f>SUM(C64:C71)</f>
        <v>0</v>
      </c>
      <c r="D72" s="114">
        <f>SUM(D64:D71)</f>
        <v>0</v>
      </c>
      <c r="E72" s="114">
        <f>SUM(E64:E71)</f>
        <v>2080.65</v>
      </c>
      <c r="F72" s="114">
        <f>SUM(F64:F71)</f>
        <v>205871.66999999995</v>
      </c>
    </row>
    <row r="73" ht="21.75" customHeight="1"/>
    <row r="74" ht="18.75" hidden="1"/>
    <row r="75" ht="18.75" hidden="1"/>
    <row r="76" ht="18.75" hidden="1"/>
    <row r="77" ht="18.75" hidden="1"/>
    <row r="79" spans="1:6" ht="18.75">
      <c r="A79" s="115" t="s">
        <v>359</v>
      </c>
      <c r="B79" s="116">
        <f>B72-B59</f>
        <v>38023.82999999996</v>
      </c>
      <c r="C79" s="116">
        <f>C72-C59</f>
        <v>0</v>
      </c>
      <c r="D79" s="116">
        <f>D72-D59</f>
        <v>-51371.77</v>
      </c>
      <c r="E79" s="116">
        <f>E72-E59</f>
        <v>1662.91</v>
      </c>
      <c r="F79" s="116">
        <f>F72-F59</f>
        <v>91058.50999999997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C70"/>
  <sheetViews>
    <sheetView tabSelected="1" zoomScalePageLayoutView="0" workbookViewId="0" topLeftCell="A1">
      <selection activeCell="C70" sqref="C70"/>
    </sheetView>
  </sheetViews>
  <sheetFormatPr defaultColWidth="9.140625" defaultRowHeight="15"/>
  <cols>
    <col min="1" max="1" width="94.8515625" style="0" bestFit="1" customWidth="1"/>
    <col min="2" max="2" width="22.8515625" style="0" customWidth="1"/>
    <col min="3" max="3" width="22.57421875" style="0" customWidth="1"/>
  </cols>
  <sheetData>
    <row r="3" ht="15.75" thickBot="1">
      <c r="A3" s="4"/>
    </row>
    <row r="4" spans="1:3" ht="30">
      <c r="A4" s="23" t="s">
        <v>0</v>
      </c>
      <c r="B4" s="24" t="s">
        <v>1</v>
      </c>
      <c r="C4" s="25" t="s">
        <v>2</v>
      </c>
    </row>
    <row r="5" spans="1:3" ht="15">
      <c r="A5" s="26"/>
      <c r="B5" s="6"/>
      <c r="C5" s="27"/>
    </row>
    <row r="6" spans="1:3" ht="15">
      <c r="A6" s="28" t="s">
        <v>5</v>
      </c>
      <c r="B6" s="8">
        <f>ENTRATE!B12</f>
        <v>189280</v>
      </c>
      <c r="C6" s="29">
        <f>ENTRATE!M12</f>
        <v>161491.15</v>
      </c>
    </row>
    <row r="7" spans="1:3" ht="15">
      <c r="A7" s="28" t="s">
        <v>9</v>
      </c>
      <c r="B7" s="8">
        <f>ENTRATE!B18</f>
        <v>0</v>
      </c>
      <c r="C7" s="29">
        <f>ENTRATE!M18</f>
        <v>200</v>
      </c>
    </row>
    <row r="8" spans="1:3" ht="15">
      <c r="A8" s="28" t="s">
        <v>13</v>
      </c>
      <c r="B8" s="8">
        <f>ENTRATE!B23</f>
        <v>400</v>
      </c>
      <c r="C8" s="29">
        <f>ENTRATE!M23</f>
        <v>667.9</v>
      </c>
    </row>
    <row r="9" spans="1:3" ht="15">
      <c r="A9" s="28" t="s">
        <v>16</v>
      </c>
      <c r="B9" s="8">
        <f>ENTRATE!B28</f>
        <v>0</v>
      </c>
      <c r="C9" s="29">
        <f>ENTRATE!M28</f>
        <v>0</v>
      </c>
    </row>
    <row r="10" spans="1:3" ht="15">
      <c r="A10" s="28" t="s">
        <v>18</v>
      </c>
      <c r="B10" s="8">
        <f>ENTRATE!B33</f>
        <v>0</v>
      </c>
      <c r="C10" s="29">
        <f>ENTRATE!M33</f>
        <v>0</v>
      </c>
    </row>
    <row r="11" spans="1:3" ht="15">
      <c r="A11" s="28" t="s">
        <v>21</v>
      </c>
      <c r="B11" s="8">
        <f>ENTRATE!B38</f>
        <v>3910</v>
      </c>
      <c r="C11" s="29">
        <f>ENTRATE!M38</f>
        <v>4017.8999999999996</v>
      </c>
    </row>
    <row r="12" spans="1:3" ht="15">
      <c r="A12" s="28" t="s">
        <v>24</v>
      </c>
      <c r="B12" s="8">
        <f>ENTRATE!B43</f>
        <v>0</v>
      </c>
      <c r="C12" s="29">
        <f>ENTRATE!M43</f>
        <v>0</v>
      </c>
    </row>
    <row r="13" spans="1:3" ht="15">
      <c r="A13" s="28" t="s">
        <v>27</v>
      </c>
      <c r="B13" s="8">
        <f>ENTRATE!B50</f>
        <v>0</v>
      </c>
      <c r="C13" s="29">
        <f>ENTRATE!M50</f>
        <v>38.12</v>
      </c>
    </row>
    <row r="14" spans="1:3" ht="15.75" thickBot="1">
      <c r="A14" s="28"/>
      <c r="B14" s="8"/>
      <c r="C14" s="29"/>
    </row>
    <row r="15" spans="1:3" ht="15.75" thickBot="1">
      <c r="A15" s="30" t="s">
        <v>155</v>
      </c>
      <c r="B15" s="9">
        <f>SUM(B6:B13)</f>
        <v>193590</v>
      </c>
      <c r="C15" s="31">
        <f>SUM(C6:C13)</f>
        <v>166415.06999999998</v>
      </c>
    </row>
    <row r="16" spans="1:3" ht="15">
      <c r="A16" s="32"/>
      <c r="B16" s="11"/>
      <c r="C16" s="33"/>
    </row>
    <row r="17" spans="1:3" ht="15">
      <c r="A17" s="28" t="s">
        <v>32</v>
      </c>
      <c r="B17" s="8">
        <f>ENTRATE!B59</f>
        <v>0</v>
      </c>
      <c r="C17" s="29">
        <f>ENTRATE!M59</f>
        <v>0</v>
      </c>
    </row>
    <row r="18" spans="1:3" ht="15">
      <c r="A18" s="28" t="s">
        <v>35</v>
      </c>
      <c r="B18" s="8">
        <f>ENTRATE!B64</f>
        <v>0</v>
      </c>
      <c r="C18" s="29">
        <f>ENTRATE!M64</f>
        <v>0</v>
      </c>
    </row>
    <row r="19" spans="1:3" ht="15">
      <c r="A19" s="28" t="s">
        <v>38</v>
      </c>
      <c r="B19" s="8">
        <f>ENTRATE!B69</f>
        <v>0</v>
      </c>
      <c r="C19" s="29">
        <f>ENTRATE!M69</f>
        <v>0</v>
      </c>
    </row>
    <row r="20" spans="1:3" ht="15">
      <c r="A20" s="28" t="s">
        <v>41</v>
      </c>
      <c r="B20" s="8">
        <f>ENTRATE!B74</f>
        <v>0</v>
      </c>
      <c r="C20" s="29">
        <f>ENTRATE!M74</f>
        <v>0</v>
      </c>
    </row>
    <row r="21" spans="1:3" ht="15">
      <c r="A21" s="28" t="s">
        <v>43</v>
      </c>
      <c r="B21" s="8">
        <f>ENTRATE!B79</f>
        <v>0</v>
      </c>
      <c r="C21" s="29">
        <f>ENTRATE!M79</f>
        <v>0</v>
      </c>
    </row>
    <row r="22" spans="1:3" ht="15">
      <c r="A22" s="28" t="s">
        <v>46</v>
      </c>
      <c r="B22" s="8">
        <f>ENTRATE!B84</f>
        <v>0</v>
      </c>
      <c r="C22" s="29">
        <f>ENTRATE!M84</f>
        <v>0</v>
      </c>
    </row>
    <row r="23" spans="1:3" ht="15.75" thickBot="1">
      <c r="A23" s="28"/>
      <c r="B23" s="8"/>
      <c r="C23" s="29"/>
    </row>
    <row r="24" spans="1:3" ht="15.75" thickBot="1">
      <c r="A24" s="30" t="s">
        <v>156</v>
      </c>
      <c r="B24" s="9">
        <f>SUM(B17:B23)</f>
        <v>0</v>
      </c>
      <c r="C24" s="31">
        <f>SUM(C17:C23)</f>
        <v>0</v>
      </c>
    </row>
    <row r="25" spans="1:3" ht="15">
      <c r="A25" s="32"/>
      <c r="B25" s="11"/>
      <c r="C25" s="33"/>
    </row>
    <row r="26" spans="1:3" ht="15">
      <c r="A26" s="28" t="s">
        <v>51</v>
      </c>
      <c r="B26" s="8">
        <f>ENTRATE!B95</f>
        <v>12000</v>
      </c>
      <c r="C26" s="29">
        <f>ENTRATE!M95</f>
        <v>10464.530000000002</v>
      </c>
    </row>
    <row r="27" spans="1:3" ht="15">
      <c r="A27" s="28"/>
      <c r="B27" s="8"/>
      <c r="C27" s="29"/>
    </row>
    <row r="28" spans="1:3" ht="15.75" thickBot="1">
      <c r="A28" s="34" t="s">
        <v>157</v>
      </c>
      <c r="B28" s="21">
        <f>SUM(B26)</f>
        <v>12000</v>
      </c>
      <c r="C28" s="35">
        <f>SUM(C26)</f>
        <v>10464.530000000002</v>
      </c>
    </row>
    <row r="29" spans="1:3" s="22" customFormat="1" ht="30" customHeight="1" thickBot="1">
      <c r="A29" s="71" t="s">
        <v>158</v>
      </c>
      <c r="B29" s="72">
        <f>SUM(B26+B24+B15)</f>
        <v>205590</v>
      </c>
      <c r="C29" s="73">
        <f>SUM(C26+C24+C15)</f>
        <v>176879.59999999998</v>
      </c>
    </row>
    <row r="30" spans="1:3" ht="15">
      <c r="A30" s="28"/>
      <c r="B30" s="8"/>
      <c r="C30" s="29"/>
    </row>
    <row r="31" spans="1:3" ht="15">
      <c r="A31" s="28" t="s">
        <v>56</v>
      </c>
      <c r="B31" s="8">
        <f>ENTRATE!B98</f>
        <v>0</v>
      </c>
      <c r="C31" s="36" t="s">
        <v>61</v>
      </c>
    </row>
    <row r="32" spans="1:3" ht="15">
      <c r="A32" s="28" t="s">
        <v>57</v>
      </c>
      <c r="B32" s="18" t="s">
        <v>61</v>
      </c>
      <c r="C32" s="29">
        <f>ENTRATE!M99</f>
        <v>0</v>
      </c>
    </row>
    <row r="33" spans="1:3" ht="15.75" thickBot="1">
      <c r="A33" s="28"/>
      <c r="B33" s="8"/>
      <c r="C33" s="29"/>
    </row>
    <row r="34" spans="1:3" ht="15.75" thickBot="1">
      <c r="A34" s="7" t="s">
        <v>59</v>
      </c>
      <c r="B34" s="12">
        <f>B29+B31</f>
        <v>205590</v>
      </c>
      <c r="C34" s="13">
        <f>C29+C32</f>
        <v>176879.59999999998</v>
      </c>
    </row>
    <row r="35" spans="1:3" ht="15">
      <c r="A35" s="37"/>
      <c r="B35" s="38"/>
      <c r="C35" s="38"/>
    </row>
    <row r="36" ht="15.75" thickBot="1"/>
    <row r="37" spans="1:3" ht="30">
      <c r="A37" s="23" t="s">
        <v>62</v>
      </c>
      <c r="B37" s="24" t="s">
        <v>1</v>
      </c>
      <c r="C37" s="25" t="s">
        <v>2</v>
      </c>
    </row>
    <row r="38" spans="1:3" ht="15">
      <c r="A38" s="26"/>
      <c r="B38" s="6"/>
      <c r="C38" s="27"/>
    </row>
    <row r="39" spans="1:3" ht="15">
      <c r="A39" s="28" t="s">
        <v>64</v>
      </c>
      <c r="B39" s="8">
        <f>USCITE!B17</f>
        <v>20500</v>
      </c>
      <c r="C39" s="29">
        <f>USCITE!M17</f>
        <v>8662.59</v>
      </c>
    </row>
    <row r="40" spans="1:3" ht="15">
      <c r="A40" s="28" t="s">
        <v>72</v>
      </c>
      <c r="B40" s="8">
        <f>USCITE!B26</f>
        <v>37000</v>
      </c>
      <c r="C40" s="29">
        <f>USCITE!M26</f>
        <v>29459.580000000005</v>
      </c>
    </row>
    <row r="41" spans="1:3" ht="15">
      <c r="A41" s="28" t="s">
        <v>85</v>
      </c>
      <c r="B41" s="8">
        <f>USCITE!B44</f>
        <v>14330</v>
      </c>
      <c r="C41" s="29">
        <f>USCITE!M44</f>
        <v>12056.850000000002</v>
      </c>
    </row>
    <row r="42" spans="1:3" ht="15">
      <c r="A42" s="28" t="s">
        <v>86</v>
      </c>
      <c r="B42" s="8">
        <f>USCITE!B63</f>
        <v>36580</v>
      </c>
      <c r="C42" s="29">
        <f>USCITE!M63</f>
        <v>25564.82</v>
      </c>
    </row>
    <row r="43" spans="1:3" ht="15">
      <c r="A43" s="28" t="s">
        <v>93</v>
      </c>
      <c r="B43" s="8">
        <f>USCITE!B81</f>
        <v>68090</v>
      </c>
      <c r="C43" s="29">
        <f>USCITE!M81</f>
        <v>49129.72</v>
      </c>
    </row>
    <row r="44" spans="1:3" ht="15">
      <c r="A44" s="28" t="s">
        <v>99</v>
      </c>
      <c r="B44" s="8">
        <f>USCITE!B86</f>
        <v>0</v>
      </c>
      <c r="C44" s="29">
        <f>USCITE!M86</f>
        <v>0</v>
      </c>
    </row>
    <row r="45" spans="1:3" ht="15">
      <c r="A45" s="28" t="s">
        <v>102</v>
      </c>
      <c r="B45" s="8">
        <f>USCITE!B92</f>
        <v>400</v>
      </c>
      <c r="C45" s="29">
        <f>USCITE!M92</f>
        <v>286</v>
      </c>
    </row>
    <row r="46" spans="1:3" ht="15">
      <c r="A46" s="28" t="s">
        <v>106</v>
      </c>
      <c r="B46" s="8">
        <f>USCITE!B98</f>
        <v>4390</v>
      </c>
      <c r="C46" s="29">
        <f>USCITE!M98</f>
        <v>3754.52</v>
      </c>
    </row>
    <row r="47" spans="1:3" ht="15">
      <c r="A47" s="28" t="s">
        <v>109</v>
      </c>
      <c r="B47" s="8">
        <f>USCITE!B103</f>
        <v>1500</v>
      </c>
      <c r="C47" s="29">
        <f>USCITE!M103</f>
        <v>1383.27</v>
      </c>
    </row>
    <row r="48" spans="1:3" ht="15">
      <c r="A48" s="28" t="s">
        <v>112</v>
      </c>
      <c r="B48" s="8">
        <f>USCITE!B108</f>
        <v>5000</v>
      </c>
      <c r="C48" s="29">
        <f>USCITE!M108</f>
        <v>0</v>
      </c>
    </row>
    <row r="49" spans="1:3" ht="15">
      <c r="A49" s="39" t="s">
        <v>114</v>
      </c>
      <c r="B49" s="8">
        <f>USCITE!B113</f>
        <v>1800</v>
      </c>
      <c r="C49" s="29">
        <f>USCITE!M113</f>
        <v>78.27000000000001</v>
      </c>
    </row>
    <row r="50" spans="1:3" ht="15.75" thickBot="1">
      <c r="A50" s="39" t="s">
        <v>117</v>
      </c>
      <c r="B50" s="8">
        <f>USCITE!B118</f>
        <v>0</v>
      </c>
      <c r="C50" s="29">
        <f>USCITE!M118</f>
        <v>0</v>
      </c>
    </row>
    <row r="51" spans="1:3" ht="15.75" thickBot="1">
      <c r="A51" s="19" t="s">
        <v>159</v>
      </c>
      <c r="B51" s="15">
        <f>SUM(B39:B50)</f>
        <v>189590</v>
      </c>
      <c r="C51" s="10">
        <f>SUM(C39:C50)</f>
        <v>130375.62000000001</v>
      </c>
    </row>
    <row r="52" spans="1:3" ht="15">
      <c r="A52" s="40"/>
      <c r="B52" s="8"/>
      <c r="C52" s="29"/>
    </row>
    <row r="53" spans="1:3" ht="15">
      <c r="A53" s="41"/>
      <c r="B53" s="8"/>
      <c r="C53" s="29"/>
    </row>
    <row r="54" spans="1:3" ht="15">
      <c r="A54" s="28" t="s">
        <v>123</v>
      </c>
      <c r="B54" s="8">
        <f>USCITE!B131</f>
        <v>3000</v>
      </c>
      <c r="C54" s="29">
        <f>USCITE!M131</f>
        <v>2931.66</v>
      </c>
    </row>
    <row r="55" spans="1:3" ht="15">
      <c r="A55" s="28" t="s">
        <v>128</v>
      </c>
      <c r="B55" s="8">
        <f>USCITE!B137</f>
        <v>1000</v>
      </c>
      <c r="C55" s="29">
        <f>USCITE!M137</f>
        <v>913.78</v>
      </c>
    </row>
    <row r="56" spans="1:3" ht="15">
      <c r="A56" s="28" t="s">
        <v>132</v>
      </c>
      <c r="B56" s="8">
        <f>USCITE!B142</f>
        <v>0</v>
      </c>
      <c r="C56" s="29">
        <f>USCITE!M142</f>
        <v>0</v>
      </c>
    </row>
    <row r="57" spans="1:3" ht="15">
      <c r="A57" s="28" t="s">
        <v>134</v>
      </c>
      <c r="B57" s="8">
        <f>USCITE!B147</f>
        <v>0</v>
      </c>
      <c r="C57" s="29">
        <f>USCITE!M147</f>
        <v>0</v>
      </c>
    </row>
    <row r="58" spans="1:3" ht="15">
      <c r="A58" s="28" t="s">
        <v>137</v>
      </c>
      <c r="B58" s="8">
        <f>USCITE!B152</f>
        <v>0</v>
      </c>
      <c r="C58" s="29">
        <f>USCITE!M152</f>
        <v>0</v>
      </c>
    </row>
    <row r="59" spans="1:3" ht="15">
      <c r="A59" s="28" t="s">
        <v>140</v>
      </c>
      <c r="B59" s="8">
        <f>USCITE!B157</f>
        <v>0</v>
      </c>
      <c r="C59" s="29">
        <f>USCITE!M157</f>
        <v>0</v>
      </c>
    </row>
    <row r="60" spans="1:3" ht="15">
      <c r="A60" s="28" t="s">
        <v>143</v>
      </c>
      <c r="B60" s="8">
        <f>USCITE!B162</f>
        <v>0</v>
      </c>
      <c r="C60" s="29">
        <f>USCITE!M162</f>
        <v>0</v>
      </c>
    </row>
    <row r="61" spans="1:3" ht="15.75" thickBot="1">
      <c r="A61" s="28" t="s">
        <v>146</v>
      </c>
      <c r="B61" s="8">
        <f>USCITE!B167</f>
        <v>0</v>
      </c>
      <c r="C61" s="29">
        <f>USCITE!M167</f>
        <v>0</v>
      </c>
    </row>
    <row r="62" spans="1:3" ht="15.75" thickBot="1">
      <c r="A62" s="20" t="s">
        <v>160</v>
      </c>
      <c r="B62" s="9">
        <f>SUM(B54:B61)</f>
        <v>4000</v>
      </c>
      <c r="C62" s="31">
        <f>SUM(C54:C61)</f>
        <v>3845.4399999999996</v>
      </c>
    </row>
    <row r="63" spans="1:3" ht="15">
      <c r="A63" s="32"/>
      <c r="B63" s="11"/>
      <c r="C63" s="33"/>
    </row>
    <row r="64" spans="1:3" ht="15.75" thickBot="1">
      <c r="A64" s="28" t="s">
        <v>150</v>
      </c>
      <c r="B64" s="8">
        <f>USCITE!B178</f>
        <v>12000</v>
      </c>
      <c r="C64" s="29">
        <f>USCITE!M178</f>
        <v>13834.380000000001</v>
      </c>
    </row>
    <row r="65" spans="1:3" ht="15.75" thickBot="1">
      <c r="A65" s="20" t="s">
        <v>161</v>
      </c>
      <c r="B65" s="14">
        <f>SUM(B64)</f>
        <v>12000</v>
      </c>
      <c r="C65" s="42">
        <f>SUM(C64)</f>
        <v>13834.380000000001</v>
      </c>
    </row>
    <row r="66" spans="1:3" ht="15.75" thickBot="1">
      <c r="A66" s="16" t="s">
        <v>162</v>
      </c>
      <c r="B66" s="17">
        <f>B65+B62+B51</f>
        <v>205590</v>
      </c>
      <c r="C66" s="43">
        <f>C65+C62+C51</f>
        <v>148055.44</v>
      </c>
    </row>
    <row r="67" spans="1:3" ht="15">
      <c r="A67" s="28"/>
      <c r="B67" s="8"/>
      <c r="C67" s="29"/>
    </row>
    <row r="68" spans="1:3" ht="15">
      <c r="A68" s="28" t="s">
        <v>163</v>
      </c>
      <c r="B68" s="8"/>
      <c r="C68" s="36"/>
    </row>
    <row r="69" spans="1:3" ht="15.75" thickBot="1">
      <c r="A69" s="28"/>
      <c r="B69" s="8"/>
      <c r="C69" s="29"/>
    </row>
    <row r="70" spans="1:3" ht="15.75" thickBot="1">
      <c r="A70" s="7" t="s">
        <v>59</v>
      </c>
      <c r="B70" s="12"/>
      <c r="C70" s="1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7"/>
  <sheetViews>
    <sheetView zoomScalePageLayoutView="0" workbookViewId="0" topLeftCell="A1">
      <selection activeCell="A54" sqref="A54"/>
    </sheetView>
  </sheetViews>
  <sheetFormatPr defaultColWidth="9.140625" defaultRowHeight="15"/>
  <cols>
    <col min="1" max="1" width="73.28125" style="2" customWidth="1"/>
    <col min="2" max="2" width="18.00390625" style="0" customWidth="1"/>
    <col min="3" max="3" width="11.00390625" style="0" bestFit="1" customWidth="1"/>
  </cols>
  <sheetData>
    <row r="1" spans="1:2" ht="37.5" customHeight="1">
      <c r="A1" s="254" t="s">
        <v>164</v>
      </c>
      <c r="B1" s="254"/>
    </row>
    <row r="2" ht="15.75" thickBot="1"/>
    <row r="3" spans="1:2" ht="21" customHeight="1">
      <c r="A3" s="48" t="s">
        <v>165</v>
      </c>
      <c r="B3" s="46"/>
    </row>
    <row r="4" spans="1:2" ht="15">
      <c r="A4" s="44"/>
      <c r="B4" s="47"/>
    </row>
    <row r="5" spans="1:2" ht="15">
      <c r="A5" s="44" t="s">
        <v>166</v>
      </c>
      <c r="B5" s="49">
        <f>189855.32+681.53</f>
        <v>190536.85</v>
      </c>
    </row>
    <row r="6" spans="1:3" ht="15">
      <c r="A6" s="45" t="s">
        <v>167</v>
      </c>
      <c r="B6" s="49">
        <f>2080.65+1.82+160.44+187.19</f>
        <v>2430.1000000000004</v>
      </c>
      <c r="C6" t="s">
        <v>246</v>
      </c>
    </row>
    <row r="7" spans="1:3" ht="15">
      <c r="A7" s="45" t="s">
        <v>168</v>
      </c>
      <c r="B7" s="66">
        <f>2257.19+4118.76+15+126.15+458.33+1075.6+13.46+332</f>
        <v>8396.490000000002</v>
      </c>
      <c r="C7" t="s">
        <v>247</v>
      </c>
    </row>
    <row r="8" spans="1:2" ht="15">
      <c r="A8" s="44"/>
      <c r="B8" s="47"/>
    </row>
    <row r="9" spans="1:2" ht="15">
      <c r="A9" s="45" t="s">
        <v>169</v>
      </c>
      <c r="B9" s="50">
        <f>B5+B6-B7</f>
        <v>184570.46000000002</v>
      </c>
    </row>
    <row r="10" spans="1:2" ht="15">
      <c r="A10" s="44"/>
      <c r="B10" s="52"/>
    </row>
    <row r="11" spans="1:3" ht="15">
      <c r="A11" s="45" t="s">
        <v>170</v>
      </c>
      <c r="B11" s="52">
        <f>'entrate uscite al 31_5'!D24</f>
        <v>17711.81</v>
      </c>
      <c r="C11" t="s">
        <v>273</v>
      </c>
    </row>
    <row r="12" spans="1:3" ht="15">
      <c r="A12" s="45" t="s">
        <v>171</v>
      </c>
      <c r="B12" s="52">
        <f>'entrate uscite al 31_5'!D25</f>
        <v>27771.649999999998</v>
      </c>
      <c r="C12" t="s">
        <v>274</v>
      </c>
    </row>
    <row r="13" spans="1:3" ht="15">
      <c r="A13" s="45" t="s">
        <v>172</v>
      </c>
      <c r="B13" s="52">
        <v>0</v>
      </c>
      <c r="C13" s="68"/>
    </row>
    <row r="14" spans="1:2" ht="15">
      <c r="A14" s="45" t="s">
        <v>275</v>
      </c>
      <c r="B14" s="52">
        <v>0</v>
      </c>
    </row>
    <row r="15" spans="1:2" ht="15">
      <c r="A15" s="44"/>
      <c r="B15" s="52"/>
    </row>
    <row r="16" spans="1:2" ht="15">
      <c r="A16" s="45" t="s">
        <v>173</v>
      </c>
      <c r="B16" s="53">
        <f>B9+B11-B12+B13-B14</f>
        <v>174510.62000000002</v>
      </c>
    </row>
    <row r="17" spans="1:2" ht="15">
      <c r="A17" s="44"/>
      <c r="B17" s="52"/>
    </row>
    <row r="18" spans="1:2" ht="15">
      <c r="A18" s="45" t="s">
        <v>174</v>
      </c>
      <c r="B18" s="52">
        <v>184028.19</v>
      </c>
    </row>
    <row r="19" spans="1:2" ht="15">
      <c r="A19" s="45" t="s">
        <v>175</v>
      </c>
      <c r="B19" s="52">
        <v>160118.09</v>
      </c>
    </row>
    <row r="20" spans="1:2" ht="15">
      <c r="A20" s="45" t="s">
        <v>176</v>
      </c>
      <c r="B20" s="52">
        <v>0</v>
      </c>
    </row>
    <row r="21" spans="1:2" ht="15">
      <c r="A21" s="45" t="s">
        <v>177</v>
      </c>
      <c r="B21" s="52">
        <v>0</v>
      </c>
    </row>
    <row r="22" spans="1:2" ht="15">
      <c r="A22" s="44"/>
      <c r="B22" s="52"/>
    </row>
    <row r="23" spans="1:2" ht="30.75" thickBot="1">
      <c r="A23" s="99" t="s">
        <v>207</v>
      </c>
      <c r="B23" s="100">
        <f>B16+B18-B19+B20-B21</f>
        <v>198420.72000000006</v>
      </c>
    </row>
    <row r="24" spans="1:2" ht="15">
      <c r="A24" s="91"/>
      <c r="B24" s="92"/>
    </row>
    <row r="25" spans="1:2" ht="15">
      <c r="A25" s="97" t="s">
        <v>277</v>
      </c>
      <c r="B25" s="92"/>
    </row>
    <row r="26" spans="1:2" ht="15">
      <c r="A26" s="98" t="s">
        <v>278</v>
      </c>
      <c r="B26" s="94"/>
    </row>
    <row r="27" spans="1:2" ht="15">
      <c r="A27" s="93" t="s">
        <v>279</v>
      </c>
      <c r="B27" s="94"/>
    </row>
    <row r="28" spans="1:2" ht="15">
      <c r="A28" s="93" t="s">
        <v>280</v>
      </c>
      <c r="B28" s="94"/>
    </row>
    <row r="29" spans="1:2" ht="15">
      <c r="A29" s="98" t="s">
        <v>281</v>
      </c>
      <c r="B29" s="94"/>
    </row>
    <row r="30" spans="1:2" ht="15">
      <c r="A30" s="93" t="s">
        <v>282</v>
      </c>
      <c r="B30" s="94">
        <v>198420.72</v>
      </c>
    </row>
    <row r="31" spans="1:2" ht="15">
      <c r="A31" s="93" t="s">
        <v>283</v>
      </c>
      <c r="B31" s="94"/>
    </row>
    <row r="32" spans="1:2" ht="15">
      <c r="A32" s="93" t="s">
        <v>284</v>
      </c>
      <c r="B32" s="94"/>
    </row>
    <row r="33" spans="1:2" ht="15">
      <c r="A33" s="95" t="s">
        <v>285</v>
      </c>
      <c r="B33" s="96">
        <f>B23</f>
        <v>198420.72000000006</v>
      </c>
    </row>
    <row r="35" ht="15.75" thickBot="1"/>
    <row r="36" spans="1:2" ht="15">
      <c r="A36" s="48" t="s">
        <v>3</v>
      </c>
      <c r="B36" s="46"/>
    </row>
    <row r="37" spans="1:2" ht="15">
      <c r="A37" s="44"/>
      <c r="B37" s="47"/>
    </row>
    <row r="38" spans="1:2" ht="15">
      <c r="A38" s="44" t="s">
        <v>166</v>
      </c>
      <c r="B38" s="49">
        <f>B5</f>
        <v>190536.85</v>
      </c>
    </row>
    <row r="39" spans="1:2" ht="15">
      <c r="A39" s="45" t="s">
        <v>178</v>
      </c>
      <c r="B39" s="49">
        <f>B11</f>
        <v>17711.81</v>
      </c>
    </row>
    <row r="40" spans="1:2" ht="15">
      <c r="A40" s="45" t="s">
        <v>179</v>
      </c>
      <c r="B40" s="49">
        <f>B12</f>
        <v>27771.649999999998</v>
      </c>
    </row>
    <row r="41" spans="1:2" ht="15">
      <c r="A41" s="44"/>
      <c r="B41" s="49"/>
    </row>
    <row r="42" spans="1:2" ht="15">
      <c r="A42" s="45" t="s">
        <v>180</v>
      </c>
      <c r="B42" s="51">
        <f>B38+B39-B40</f>
        <v>180477.01</v>
      </c>
    </row>
    <row r="43" spans="1:2" ht="15">
      <c r="A43" s="44"/>
      <c r="B43" s="49"/>
    </row>
    <row r="44" spans="1:2" ht="15">
      <c r="A44" s="45" t="s">
        <v>181</v>
      </c>
      <c r="B44" s="49">
        <f>ENTRATE!M96-B39</f>
        <v>159167.79</v>
      </c>
    </row>
    <row r="45" spans="1:2" ht="15">
      <c r="A45" s="45" t="s">
        <v>182</v>
      </c>
      <c r="B45" s="49">
        <f>USCITE!M184-'DEMO RIS. AMM.NE PRESUNTO'!B40</f>
        <v>120283.79000000001</v>
      </c>
    </row>
    <row r="46" spans="1:2" ht="15">
      <c r="A46" s="44"/>
      <c r="B46" s="49"/>
    </row>
    <row r="47" spans="1:2" ht="30.75" thickBot="1">
      <c r="A47" s="99" t="s">
        <v>248</v>
      </c>
      <c r="B47" s="100">
        <f>B42+B44-B45</f>
        <v>219361.01000000004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31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8.28125" style="0" customWidth="1"/>
    <col min="2" max="2" width="30.7109375" style="0" customWidth="1"/>
    <col min="3" max="3" width="24.8515625" style="0" customWidth="1"/>
    <col min="4" max="4" width="18.8515625" style="0" customWidth="1"/>
  </cols>
  <sheetData>
    <row r="2" spans="1:4" ht="15">
      <c r="A2" s="255" t="s">
        <v>256</v>
      </c>
      <c r="B2" s="77" t="s">
        <v>249</v>
      </c>
      <c r="C2" s="78">
        <v>819.1</v>
      </c>
      <c r="D2" s="79"/>
    </row>
    <row r="3" spans="1:4" ht="15">
      <c r="A3" s="256"/>
      <c r="B3" s="80" t="s">
        <v>250</v>
      </c>
      <c r="C3" s="81">
        <v>1178</v>
      </c>
      <c r="D3" s="82"/>
    </row>
    <row r="4" spans="1:4" ht="15">
      <c r="A4" s="256"/>
      <c r="B4" s="80" t="s">
        <v>251</v>
      </c>
      <c r="C4" s="81">
        <v>2202.28</v>
      </c>
      <c r="D4" s="82"/>
    </row>
    <row r="5" spans="1:4" ht="15">
      <c r="A5" s="256"/>
      <c r="B5" s="80" t="s">
        <v>252</v>
      </c>
      <c r="C5" s="81">
        <v>2730.3</v>
      </c>
      <c r="D5" s="82"/>
    </row>
    <row r="6" spans="1:4" ht="15">
      <c r="A6" s="256"/>
      <c r="B6" s="80" t="s">
        <v>253</v>
      </c>
      <c r="C6" s="81">
        <v>1139.7</v>
      </c>
      <c r="D6" s="82"/>
    </row>
    <row r="7" spans="1:4" ht="15">
      <c r="A7" s="256"/>
      <c r="B7" s="80" t="s">
        <v>255</v>
      </c>
      <c r="C7" s="81">
        <v>-800</v>
      </c>
      <c r="D7" s="82"/>
    </row>
    <row r="8" spans="1:4" ht="27" customHeight="1">
      <c r="A8" s="257"/>
      <c r="B8" s="83" t="s">
        <v>254</v>
      </c>
      <c r="C8" s="84"/>
      <c r="D8" s="85">
        <f>SUM(C2:C7)</f>
        <v>7269.38</v>
      </c>
    </row>
    <row r="9" spans="1:4" ht="15">
      <c r="A9" s="86"/>
      <c r="B9" s="77"/>
      <c r="C9" s="78"/>
      <c r="D9" s="79"/>
    </row>
    <row r="10" spans="1:4" ht="15">
      <c r="A10" s="256" t="s">
        <v>263</v>
      </c>
      <c r="B10" s="80" t="s">
        <v>257</v>
      </c>
      <c r="C10" s="81">
        <v>644.33</v>
      </c>
      <c r="D10" s="82"/>
    </row>
    <row r="11" spans="1:4" ht="15">
      <c r="A11" s="256"/>
      <c r="B11" s="80" t="s">
        <v>258</v>
      </c>
      <c r="C11" s="81">
        <v>614.84</v>
      </c>
      <c r="D11" s="82"/>
    </row>
    <row r="12" spans="1:4" ht="15">
      <c r="A12" s="256"/>
      <c r="B12" s="80" t="s">
        <v>259</v>
      </c>
      <c r="C12" s="81">
        <v>1555.06</v>
      </c>
      <c r="D12" s="82"/>
    </row>
    <row r="13" spans="1:4" ht="15">
      <c r="A13" s="256"/>
      <c r="B13" s="80" t="s">
        <v>260</v>
      </c>
      <c r="C13" s="81">
        <v>2726</v>
      </c>
      <c r="D13" s="82"/>
    </row>
    <row r="14" spans="1:4" ht="15">
      <c r="A14" s="256"/>
      <c r="B14" s="80" t="s">
        <v>261</v>
      </c>
      <c r="C14" s="81">
        <v>2610</v>
      </c>
      <c r="D14" s="82"/>
    </row>
    <row r="15" spans="1:4" ht="15">
      <c r="A15" s="256"/>
      <c r="B15" s="80" t="s">
        <v>264</v>
      </c>
      <c r="C15" s="81">
        <v>-2300</v>
      </c>
      <c r="D15" s="82"/>
    </row>
    <row r="16" spans="1:4" ht="30" customHeight="1">
      <c r="A16" s="257"/>
      <c r="B16" s="83" t="s">
        <v>262</v>
      </c>
      <c r="C16" s="84"/>
      <c r="D16" s="85">
        <f>SUM(C10:C15)</f>
        <v>5850.23</v>
      </c>
    </row>
    <row r="17" ht="15">
      <c r="C17" s="67"/>
    </row>
    <row r="18" ht="15">
      <c r="C18" s="67"/>
    </row>
    <row r="19" spans="1:4" ht="93.75" customHeight="1">
      <c r="A19" s="87" t="s">
        <v>265</v>
      </c>
      <c r="B19" s="88" t="s">
        <v>266</v>
      </c>
      <c r="C19" s="89">
        <v>10442.43</v>
      </c>
      <c r="D19" s="90"/>
    </row>
    <row r="20" spans="1:4" ht="15">
      <c r="A20" s="5"/>
      <c r="B20" s="83" t="s">
        <v>267</v>
      </c>
      <c r="C20" s="84"/>
      <c r="D20" s="85">
        <f>SUM(C19)</f>
        <v>10442.43</v>
      </c>
    </row>
    <row r="21" spans="1:4" ht="91.5">
      <c r="A21" s="87" t="s">
        <v>268</v>
      </c>
      <c r="B21" s="88" t="s">
        <v>269</v>
      </c>
      <c r="C21" s="89">
        <v>21921.42</v>
      </c>
      <c r="D21" s="79"/>
    </row>
    <row r="22" spans="1:4" ht="15">
      <c r="A22" s="5"/>
      <c r="B22" s="83" t="s">
        <v>270</v>
      </c>
      <c r="C22" s="84"/>
      <c r="D22" s="85">
        <f>SUM(C21)</f>
        <v>21921.42</v>
      </c>
    </row>
    <row r="23" ht="15">
      <c r="C23" s="67"/>
    </row>
    <row r="24" spans="2:4" ht="15">
      <c r="B24" s="1" t="s">
        <v>271</v>
      </c>
      <c r="C24" s="69"/>
      <c r="D24" s="70">
        <f>D20+D8</f>
        <v>17711.81</v>
      </c>
    </row>
    <row r="25" spans="2:4" ht="15">
      <c r="B25" s="1" t="s">
        <v>272</v>
      </c>
      <c r="C25" s="69"/>
      <c r="D25" s="70">
        <f>D22+D16</f>
        <v>27771.649999999998</v>
      </c>
    </row>
    <row r="26" ht="15">
      <c r="C26" s="67"/>
    </row>
    <row r="27" ht="15">
      <c r="C27" s="67"/>
    </row>
    <row r="28" ht="15">
      <c r="C28" s="67"/>
    </row>
    <row r="29" ht="15">
      <c r="C29" s="67"/>
    </row>
    <row r="30" ht="15">
      <c r="C30" s="67"/>
    </row>
    <row r="31" ht="15">
      <c r="C31" s="67"/>
    </row>
  </sheetData>
  <sheetProtection/>
  <mergeCells count="2">
    <mergeCell ref="A2:A8"/>
    <mergeCell ref="A10:A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0">
      <selection activeCell="A16" sqref="A16"/>
    </sheetView>
  </sheetViews>
  <sheetFormatPr defaultColWidth="9.140625" defaultRowHeight="15"/>
  <cols>
    <col min="1" max="1" width="70.28125" style="57" customWidth="1"/>
    <col min="2" max="2" width="18.7109375" style="57" customWidth="1"/>
    <col min="3" max="3" width="9.140625" style="57" customWidth="1"/>
    <col min="4" max="4" width="10.140625" style="57" bestFit="1" customWidth="1"/>
    <col min="5" max="16384" width="9.140625" style="57" customWidth="1"/>
  </cols>
  <sheetData>
    <row r="1" ht="23.25">
      <c r="A1" s="74" t="s">
        <v>276</v>
      </c>
    </row>
    <row r="3" spans="1:2" ht="12.75">
      <c r="A3" s="54" t="s">
        <v>208</v>
      </c>
      <c r="B3" s="58"/>
    </row>
    <row r="4" spans="1:2" ht="12.75">
      <c r="A4" s="55" t="s">
        <v>233</v>
      </c>
      <c r="B4" s="58">
        <f>ENTRATE!B12</f>
        <v>189280</v>
      </c>
    </row>
    <row r="5" spans="1:2" ht="12.75">
      <c r="A5" s="55" t="s">
        <v>214</v>
      </c>
      <c r="B5" s="58"/>
    </row>
    <row r="6" spans="1:2" ht="12.75">
      <c r="A6" s="55" t="s">
        <v>215</v>
      </c>
      <c r="B6" s="58"/>
    </row>
    <row r="7" spans="1:2" ht="12.75">
      <c r="A7" s="55" t="s">
        <v>216</v>
      </c>
      <c r="B7" s="58"/>
    </row>
    <row r="8" spans="1:2" ht="12.75">
      <c r="A8" s="55" t="s">
        <v>234</v>
      </c>
      <c r="B8" s="58">
        <f>ENTRATE!B38+ENTRATE!B23+ENTRATE!B18+ENTRATE!B28+ENTRATE!B43</f>
        <v>4310</v>
      </c>
    </row>
    <row r="9" spans="1:2" ht="12.75">
      <c r="A9" s="56" t="s">
        <v>225</v>
      </c>
      <c r="B9" s="59">
        <f>SUM(B4:B8)</f>
        <v>193590</v>
      </c>
    </row>
    <row r="10" spans="1:2" ht="12.75">
      <c r="A10" s="54"/>
      <c r="B10" s="58"/>
    </row>
    <row r="11" spans="1:2" ht="12.75">
      <c r="A11" s="54" t="s">
        <v>209</v>
      </c>
      <c r="B11" s="58"/>
    </row>
    <row r="12" spans="1:2" ht="12.75">
      <c r="A12" s="55" t="s">
        <v>235</v>
      </c>
      <c r="B12" s="58">
        <v>1745</v>
      </c>
    </row>
    <row r="13" spans="1:2" ht="12.75">
      <c r="A13" s="55" t="s">
        <v>236</v>
      </c>
      <c r="B13" s="58">
        <v>62708.56</v>
      </c>
    </row>
    <row r="14" spans="1:2" ht="12.75">
      <c r="A14" s="55" t="s">
        <v>237</v>
      </c>
      <c r="B14" s="58">
        <v>17783.18</v>
      </c>
    </row>
    <row r="15" spans="1:2" ht="12.75">
      <c r="A15" s="55" t="s">
        <v>238</v>
      </c>
      <c r="B15" s="65">
        <f>USCITE!B111+USCITE!B26</f>
        <v>38800</v>
      </c>
    </row>
    <row r="16" spans="1:2" ht="12.75">
      <c r="A16" s="55" t="s">
        <v>239</v>
      </c>
      <c r="B16" s="58">
        <f>59.29+979.31+74.16+26.14+352.3</f>
        <v>1491.2</v>
      </c>
    </row>
    <row r="17" spans="1:2" ht="12.75">
      <c r="A17" s="55" t="s">
        <v>217</v>
      </c>
      <c r="B17" s="58"/>
    </row>
    <row r="18" spans="1:2" ht="12.75">
      <c r="A18" s="55" t="s">
        <v>218</v>
      </c>
      <c r="B18" s="58">
        <v>35000</v>
      </c>
    </row>
    <row r="19" spans="1:2" ht="12.75">
      <c r="A19" s="55" t="s">
        <v>219</v>
      </c>
      <c r="B19" s="58">
        <f>USCITE!B108</f>
        <v>5000</v>
      </c>
    </row>
    <row r="20" spans="1:2" ht="12.75">
      <c r="A20" s="55" t="s">
        <v>240</v>
      </c>
      <c r="B20" s="58">
        <v>27718</v>
      </c>
    </row>
    <row r="21" spans="1:4" ht="12.75">
      <c r="A21" s="56" t="s">
        <v>226</v>
      </c>
      <c r="B21" s="59">
        <f>SUM(B12:B20)</f>
        <v>190245.94</v>
      </c>
      <c r="D21" s="60"/>
    </row>
    <row r="22" spans="1:2" ht="12.75">
      <c r="A22" s="54"/>
      <c r="B22" s="58"/>
    </row>
    <row r="23" spans="1:2" ht="12.75">
      <c r="A23" s="56" t="s">
        <v>224</v>
      </c>
      <c r="B23" s="59">
        <f>B9-B21</f>
        <v>3344.0599999999977</v>
      </c>
    </row>
    <row r="24" spans="1:2" ht="12.75">
      <c r="A24" s="54"/>
      <c r="B24" s="58"/>
    </row>
    <row r="25" spans="1:2" ht="12.75">
      <c r="A25" s="54" t="s">
        <v>210</v>
      </c>
      <c r="B25" s="61"/>
    </row>
    <row r="26" spans="1:2" ht="12.75">
      <c r="A26" s="55" t="s">
        <v>220</v>
      </c>
      <c r="B26" s="61"/>
    </row>
    <row r="27" spans="1:2" ht="12.75">
      <c r="A27" s="55" t="s">
        <v>241</v>
      </c>
      <c r="B27" s="61">
        <f>ENTRATE!B36</f>
        <v>100</v>
      </c>
    </row>
    <row r="28" spans="1:2" ht="12.75">
      <c r="A28" s="55" t="s">
        <v>242</v>
      </c>
      <c r="B28" s="61">
        <f>USCITE!B92</f>
        <v>400</v>
      </c>
    </row>
    <row r="29" spans="1:2" ht="12.75">
      <c r="A29" s="55" t="s">
        <v>221</v>
      </c>
      <c r="B29" s="61"/>
    </row>
    <row r="30" spans="1:2" ht="12.75">
      <c r="A30" s="56" t="s">
        <v>227</v>
      </c>
      <c r="B30" s="62">
        <f>B26+B27-B28+B29</f>
        <v>-300</v>
      </c>
    </row>
    <row r="31" spans="1:2" ht="12.75">
      <c r="A31" s="54"/>
      <c r="B31" s="61"/>
    </row>
    <row r="32" spans="1:2" ht="12.75">
      <c r="A32" s="54" t="s">
        <v>211</v>
      </c>
      <c r="B32" s="61"/>
    </row>
    <row r="33" spans="1:2" ht="12.75">
      <c r="A33" s="55" t="s">
        <v>222</v>
      </c>
      <c r="B33" s="61"/>
    </row>
    <row r="34" spans="1:2" ht="12.75">
      <c r="A34" s="55" t="s">
        <v>223</v>
      </c>
      <c r="B34" s="61"/>
    </row>
    <row r="35" spans="1:2" ht="12.75">
      <c r="A35" s="56" t="s">
        <v>228</v>
      </c>
      <c r="B35" s="62">
        <f>B33-B34</f>
        <v>0</v>
      </c>
    </row>
    <row r="36" spans="1:2" ht="12.75">
      <c r="A36" s="54"/>
      <c r="B36" s="61"/>
    </row>
    <row r="37" spans="1:2" ht="12.75">
      <c r="A37" s="54" t="s">
        <v>212</v>
      </c>
      <c r="B37" s="58"/>
    </row>
    <row r="38" spans="1:2" ht="12.75">
      <c r="A38" s="55" t="s">
        <v>243</v>
      </c>
      <c r="B38" s="58"/>
    </row>
    <row r="39" spans="1:2" ht="16.5" customHeight="1">
      <c r="A39" s="55" t="s">
        <v>244</v>
      </c>
      <c r="B39" s="58">
        <f>USCITE!B102</f>
        <v>1500</v>
      </c>
    </row>
    <row r="40" spans="1:2" ht="16.5" customHeight="1">
      <c r="A40" s="55" t="s">
        <v>229</v>
      </c>
      <c r="B40" s="58"/>
    </row>
    <row r="41" spans="1:2" ht="16.5" customHeight="1">
      <c r="A41" s="55" t="s">
        <v>230</v>
      </c>
      <c r="B41" s="58"/>
    </row>
    <row r="42" spans="1:2" ht="16.5" customHeight="1">
      <c r="A42" s="56" t="s">
        <v>231</v>
      </c>
      <c r="B42" s="59">
        <f>B38-B39+B40-B41</f>
        <v>-1500</v>
      </c>
    </row>
    <row r="43" spans="1:2" ht="16.5" customHeight="1">
      <c r="A43" s="54"/>
      <c r="B43" s="58"/>
    </row>
    <row r="44" spans="1:2" ht="16.5" customHeight="1">
      <c r="A44" s="56" t="s">
        <v>232</v>
      </c>
      <c r="B44" s="59">
        <f>B23+B30+B35+B42</f>
        <v>1544.0599999999977</v>
      </c>
    </row>
    <row r="45" spans="1:2" ht="16.5" customHeight="1">
      <c r="A45" s="54"/>
      <c r="B45" s="58"/>
    </row>
    <row r="46" spans="1:2" ht="12.75">
      <c r="A46" s="54" t="s">
        <v>245</v>
      </c>
      <c r="B46" s="58">
        <v>1870</v>
      </c>
    </row>
    <row r="47" spans="1:2" ht="12.75">
      <c r="A47" s="63"/>
      <c r="B47" s="64"/>
    </row>
    <row r="48" spans="1:2" ht="19.5" customHeight="1">
      <c r="A48" s="76" t="s">
        <v>213</v>
      </c>
      <c r="B48" s="75">
        <f>B44-B46</f>
        <v>-325.9400000000023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B1">
      <selection activeCell="C16" sqref="C16"/>
    </sheetView>
  </sheetViews>
  <sheetFormatPr defaultColWidth="9.140625" defaultRowHeight="15"/>
  <cols>
    <col min="1" max="1" width="4.421875" style="57" customWidth="1"/>
    <col min="2" max="2" width="70.7109375" style="57" customWidth="1"/>
    <col min="3" max="3" width="17.00390625" style="57" customWidth="1"/>
    <col min="4" max="4" width="17.28125" style="57" customWidth="1"/>
    <col min="5" max="5" width="13.00390625" style="57" customWidth="1"/>
    <col min="6" max="6" width="9.140625" style="57" customWidth="1"/>
    <col min="7" max="7" width="20.7109375" style="57" customWidth="1"/>
    <col min="8" max="8" width="28.57421875" style="57" customWidth="1"/>
    <col min="9" max="16384" width="9.140625" style="57" customWidth="1"/>
  </cols>
  <sheetData>
    <row r="1" spans="2:5" ht="12.75">
      <c r="B1" s="171" t="s">
        <v>413</v>
      </c>
      <c r="C1" s="216"/>
      <c r="D1" s="216"/>
      <c r="E1" s="216"/>
    </row>
    <row r="2" spans="3:5" ht="12.75">
      <c r="C2" s="216"/>
      <c r="D2" s="216"/>
      <c r="E2" s="216"/>
    </row>
    <row r="3" spans="2:5" ht="12.75">
      <c r="B3" s="57" t="s">
        <v>452</v>
      </c>
      <c r="C3" s="216">
        <f>1175.85+150000</f>
        <v>151175.85</v>
      </c>
      <c r="D3" s="216"/>
      <c r="E3" s="216"/>
    </row>
    <row r="4" spans="2:5" ht="12.75">
      <c r="B4" s="57" t="s">
        <v>462</v>
      </c>
      <c r="C4" s="216">
        <v>84778.28</v>
      </c>
      <c r="D4" s="216"/>
      <c r="E4" s="216"/>
    </row>
    <row r="5" spans="2:5" ht="12.75">
      <c r="B5" s="57" t="s">
        <v>463</v>
      </c>
      <c r="C5" s="216">
        <v>82493.25</v>
      </c>
      <c r="D5" s="216"/>
      <c r="E5" s="216"/>
    </row>
    <row r="6" spans="1:5" ht="12.75">
      <c r="A6" s="57">
        <v>1</v>
      </c>
      <c r="B6" s="217" t="s">
        <v>414</v>
      </c>
      <c r="C6" s="218"/>
      <c r="D6" s="219">
        <f>SUM(C2:C5)</f>
        <v>318447.38</v>
      </c>
      <c r="E6" s="216"/>
    </row>
    <row r="7" spans="3:5" ht="12.75">
      <c r="C7" s="216"/>
      <c r="D7" s="216"/>
      <c r="E7" s="216"/>
    </row>
    <row r="8" spans="2:5" ht="12.75">
      <c r="B8" s="57" t="s">
        <v>415</v>
      </c>
      <c r="C8" s="220"/>
      <c r="D8" s="216"/>
      <c r="E8" s="216"/>
    </row>
    <row r="9" spans="2:5" ht="12.75">
      <c r="B9" s="57" t="s">
        <v>416</v>
      </c>
      <c r="C9" s="221">
        <f>ENTRATE!D96</f>
        <v>163319.44000000003</v>
      </c>
      <c r="D9" s="216"/>
      <c r="E9" s="216"/>
    </row>
    <row r="10" spans="2:5" ht="12.75">
      <c r="B10" s="57" t="s">
        <v>417</v>
      </c>
      <c r="C10" s="222">
        <f>ENTRATE!J96</f>
        <v>13560.16</v>
      </c>
      <c r="D10" s="216"/>
      <c r="E10" s="216"/>
    </row>
    <row r="11" spans="2:5" ht="13.5" thickBot="1">
      <c r="B11" s="57" t="s">
        <v>347</v>
      </c>
      <c r="C11" s="222"/>
      <c r="D11" s="223">
        <f>SUM(C9:C10)</f>
        <v>176879.60000000003</v>
      </c>
      <c r="E11" s="216"/>
    </row>
    <row r="12" spans="1:5" ht="12.75">
      <c r="A12" s="57">
        <v>3</v>
      </c>
      <c r="B12" s="57" t="s">
        <v>418</v>
      </c>
      <c r="C12" s="222"/>
      <c r="D12" s="224">
        <f>D6+C9+C10</f>
        <v>495326.98000000004</v>
      </c>
      <c r="E12" s="216"/>
    </row>
    <row r="13" spans="3:8" ht="12.75">
      <c r="C13" s="222"/>
      <c r="D13" s="216"/>
      <c r="E13" s="216"/>
      <c r="G13" s="153" t="s">
        <v>464</v>
      </c>
      <c r="H13" s="57" t="s">
        <v>453</v>
      </c>
    </row>
    <row r="14" spans="2:8" ht="12.75">
      <c r="B14" s="57" t="s">
        <v>419</v>
      </c>
      <c r="C14" s="222">
        <f>USCITE!D179</f>
        <v>132377.05</v>
      </c>
      <c r="D14" s="216"/>
      <c r="E14" s="216"/>
      <c r="G14" s="237">
        <v>1536.56</v>
      </c>
      <c r="H14" s="57">
        <v>150000</v>
      </c>
    </row>
    <row r="15" spans="2:7" ht="12.75">
      <c r="B15" s="57" t="s">
        <v>420</v>
      </c>
      <c r="C15" s="225">
        <f>USCITE!J179</f>
        <v>15678.39</v>
      </c>
      <c r="D15" s="216"/>
      <c r="E15" s="216"/>
      <c r="G15" s="237">
        <v>84550.03</v>
      </c>
    </row>
    <row r="16" spans="1:8" ht="12.75">
      <c r="A16" s="57">
        <v>4</v>
      </c>
      <c r="B16" s="57" t="s">
        <v>421</v>
      </c>
      <c r="C16" s="226">
        <f>SUM(C14:C15)</f>
        <v>148055.44</v>
      </c>
      <c r="D16" s="216"/>
      <c r="E16" s="216"/>
      <c r="G16" s="237">
        <v>111184.95</v>
      </c>
      <c r="H16" s="57" t="s">
        <v>433</v>
      </c>
    </row>
    <row r="17" spans="1:8" ht="12.75">
      <c r="A17" s="57">
        <v>5</v>
      </c>
      <c r="B17" s="171" t="s">
        <v>422</v>
      </c>
      <c r="C17" s="227"/>
      <c r="D17" s="224">
        <f>D12-C16</f>
        <v>347271.54000000004</v>
      </c>
      <c r="E17" s="228"/>
      <c r="G17" s="238">
        <f>SUM(G14:G16)+H14</f>
        <v>347271.54</v>
      </c>
      <c r="H17" s="147">
        <f>G17-D17</f>
        <v>0</v>
      </c>
    </row>
    <row r="18" spans="3:5" ht="12.75">
      <c r="C18" s="226"/>
      <c r="D18" s="216"/>
      <c r="E18" s="216"/>
    </row>
    <row r="19" spans="3:5" ht="12.75">
      <c r="C19" s="226"/>
      <c r="D19" s="216"/>
      <c r="E19" s="216"/>
    </row>
    <row r="20" spans="1:5" ht="12.75">
      <c r="A20" s="57">
        <v>6</v>
      </c>
      <c r="B20" s="57" t="s">
        <v>423</v>
      </c>
      <c r="C20" s="226">
        <f>ENTRATE!E96</f>
        <v>37636.270000000004</v>
      </c>
      <c r="D20" s="216"/>
      <c r="E20" s="216"/>
    </row>
    <row r="21" spans="2:5" ht="12.75">
      <c r="B21" s="57" t="s">
        <v>424</v>
      </c>
      <c r="C21" s="226">
        <f>ENTRATE!K96</f>
        <v>2659.2000000000007</v>
      </c>
      <c r="D21" s="216"/>
      <c r="E21" s="216"/>
    </row>
    <row r="22" spans="2:5" ht="12.75">
      <c r="B22" s="57" t="s">
        <v>347</v>
      </c>
      <c r="C22" s="226"/>
      <c r="D22" s="216">
        <f>C20+C21</f>
        <v>40295.47</v>
      </c>
      <c r="E22" s="216"/>
    </row>
    <row r="23" spans="3:5" ht="12.75">
      <c r="C23" s="226"/>
      <c r="D23" s="216"/>
      <c r="E23" s="216"/>
    </row>
    <row r="24" spans="1:5" ht="12.75">
      <c r="A24" s="57">
        <v>7</v>
      </c>
      <c r="B24" s="57" t="s">
        <v>432</v>
      </c>
      <c r="C24" s="226">
        <f>USCITE!E179</f>
        <v>17378.579999999998</v>
      </c>
      <c r="D24" s="216"/>
      <c r="E24" s="216"/>
    </row>
    <row r="25" spans="2:5" ht="12.75">
      <c r="B25" s="57" t="s">
        <v>425</v>
      </c>
      <c r="C25" s="226">
        <f>USCITE!K179</f>
        <v>77674.41000000002</v>
      </c>
      <c r="D25" s="216"/>
      <c r="E25" s="216"/>
    </row>
    <row r="26" spans="2:5" ht="12.75">
      <c r="B26" s="57" t="s">
        <v>347</v>
      </c>
      <c r="C26" s="226"/>
      <c r="D26" s="226">
        <f>C24+C25</f>
        <v>95052.99000000002</v>
      </c>
      <c r="E26" s="216"/>
    </row>
    <row r="27" spans="3:5" ht="12.75">
      <c r="C27" s="226"/>
      <c r="D27" s="226"/>
      <c r="E27" s="216"/>
    </row>
    <row r="28" spans="1:5" ht="12.75">
      <c r="A28" s="57">
        <v>8</v>
      </c>
      <c r="B28" s="57" t="s">
        <v>426</v>
      </c>
      <c r="C28" s="226"/>
      <c r="D28" s="227">
        <f>D22-D26</f>
        <v>-54757.52000000002</v>
      </c>
      <c r="E28" s="216"/>
    </row>
    <row r="29" spans="1:5" ht="12.75">
      <c r="A29" s="171"/>
      <c r="B29" s="171" t="s">
        <v>427</v>
      </c>
      <c r="C29" s="227"/>
      <c r="D29" s="224"/>
      <c r="E29" s="224">
        <f>D17+D28</f>
        <v>292514.02</v>
      </c>
    </row>
    <row r="30" spans="3:5" ht="13.5" thickBot="1">
      <c r="C30" s="226"/>
      <c r="D30" s="216"/>
      <c r="E30" s="216"/>
    </row>
    <row r="31" spans="2:5" ht="12.75">
      <c r="B31" s="229" t="s">
        <v>428</v>
      </c>
      <c r="C31" s="230"/>
      <c r="D31" s="231">
        <f>ENTRATE!C96</f>
        <v>200955.71000000002</v>
      </c>
      <c r="E31" s="216"/>
    </row>
    <row r="32" spans="2:5" ht="12.75">
      <c r="B32" s="232" t="s">
        <v>429</v>
      </c>
      <c r="C32" s="222"/>
      <c r="D32" s="233">
        <f>USCITE!C179</f>
        <v>149755.25</v>
      </c>
      <c r="E32" s="216"/>
    </row>
    <row r="33" spans="2:5" ht="13.5" thickBot="1">
      <c r="B33" s="234" t="s">
        <v>430</v>
      </c>
      <c r="C33" s="235"/>
      <c r="D33" s="236">
        <f>D31-D32</f>
        <v>51200.46000000002</v>
      </c>
      <c r="E33" s="216"/>
    </row>
    <row r="34" spans="3:5" ht="12.75">
      <c r="C34" s="216"/>
      <c r="D34" s="216"/>
      <c r="E34" s="216"/>
    </row>
    <row r="35" spans="2:5" ht="12.75">
      <c r="B35" s="57" t="s">
        <v>431</v>
      </c>
      <c r="C35" s="216"/>
      <c r="D35" s="216"/>
      <c r="E35" s="216"/>
    </row>
    <row r="36" spans="3:5" ht="12.75">
      <c r="C36" s="216"/>
      <c r="D36" s="216"/>
      <c r="E36" s="21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2:J27"/>
  <sheetViews>
    <sheetView zoomScalePageLayoutView="0" workbookViewId="0" topLeftCell="A1">
      <selection activeCell="C32" sqref="C32"/>
    </sheetView>
  </sheetViews>
  <sheetFormatPr defaultColWidth="9.140625" defaultRowHeight="15"/>
  <cols>
    <col min="3" max="3" width="29.140625" style="0" customWidth="1"/>
    <col min="4" max="5" width="27.00390625" style="157" customWidth="1"/>
    <col min="6" max="7" width="20.57421875" style="0" customWidth="1"/>
    <col min="8" max="9" width="22.8515625" style="0" customWidth="1"/>
    <col min="10" max="10" width="26.57421875" style="0" customWidth="1"/>
    <col min="11" max="11" width="18.421875" style="0" customWidth="1"/>
  </cols>
  <sheetData>
    <row r="2" spans="3:10" ht="15">
      <c r="C2" s="160" t="s">
        <v>445</v>
      </c>
      <c r="F2" s="160" t="s">
        <v>444</v>
      </c>
      <c r="G2" s="160"/>
      <c r="H2" s="160" t="s">
        <v>443</v>
      </c>
      <c r="I2" s="160"/>
      <c r="J2" s="160" t="s">
        <v>421</v>
      </c>
    </row>
    <row r="3" spans="3:10" ht="15">
      <c r="C3" t="s">
        <v>442</v>
      </c>
      <c r="D3" s="155">
        <v>61317.8</v>
      </c>
      <c r="E3" s="155"/>
      <c r="F3" s="155">
        <v>1742.73</v>
      </c>
      <c r="G3" s="155"/>
      <c r="H3" s="155">
        <v>54977.06</v>
      </c>
      <c r="I3" s="155"/>
      <c r="J3" s="68">
        <f>SUM(D3:H3)</f>
        <v>118037.59</v>
      </c>
    </row>
    <row r="4" spans="3:10" ht="15">
      <c r="C4" t="s">
        <v>441</v>
      </c>
      <c r="D4" s="155">
        <v>203547.33</v>
      </c>
      <c r="E4" s="155">
        <v>-182371.88</v>
      </c>
      <c r="F4" s="155">
        <v>34250.18</v>
      </c>
      <c r="G4" s="155">
        <v>-34817.06</v>
      </c>
      <c r="H4" s="155">
        <v>30058</v>
      </c>
      <c r="I4" s="155">
        <v>-256.78</v>
      </c>
      <c r="J4" s="68">
        <f>SUM(D4:I4)</f>
        <v>50409.789999999986</v>
      </c>
    </row>
    <row r="6" spans="4:10" ht="15">
      <c r="D6" s="157">
        <f>SUM(D3:D5)</f>
        <v>264865.13</v>
      </c>
      <c r="E6" s="157">
        <f>182371.88-500-500-500-30000-500-500-800-500-500-800</f>
        <v>147271.88</v>
      </c>
      <c r="F6" s="68">
        <f>SUM(F3:F5)</f>
        <v>35992.91</v>
      </c>
      <c r="G6" s="159">
        <f>34817.06-4750-2200-1920.34-1000-1000-1200-5100-2550-1200-1887.54-1900-2700-1800</f>
        <v>5609.179999999997</v>
      </c>
      <c r="H6" s="68">
        <f>SUM(H3:H4)</f>
        <v>85035.06</v>
      </c>
      <c r="I6" s="159">
        <f>SUM(I3:I4)</f>
        <v>-256.78</v>
      </c>
      <c r="J6" s="158">
        <f>SUM(D6:I6)</f>
        <v>538517.38</v>
      </c>
    </row>
    <row r="7" spans="4:6" ht="15">
      <c r="D7" s="157">
        <f>1800+2700+1900+1887.54+1200+2550+5100+1200+1000+1920.34+1000+2200+4750</f>
        <v>29207.88</v>
      </c>
      <c r="F7">
        <f>500+500+500+500+500+800+500+500+800</f>
        <v>5100</v>
      </c>
    </row>
    <row r="8" ht="15">
      <c r="F8" s="68">
        <f>F4-F7</f>
        <v>29150.18</v>
      </c>
    </row>
    <row r="10" spans="3:4" ht="15">
      <c r="C10" t="s">
        <v>440</v>
      </c>
      <c r="D10" s="157">
        <f>D4-D7</f>
        <v>174339.44999999998</v>
      </c>
    </row>
    <row r="11" spans="3:4" ht="15">
      <c r="C11" t="s">
        <v>439</v>
      </c>
      <c r="D11" s="157">
        <v>58</v>
      </c>
    </row>
    <row r="12" spans="3:4" ht="15">
      <c r="C12" t="s">
        <v>438</v>
      </c>
      <c r="D12" s="157">
        <f>F8</f>
        <v>29150.18</v>
      </c>
    </row>
    <row r="15" spans="4:6" ht="15">
      <c r="D15" s="157">
        <f>SUM(D10:D14)</f>
        <v>203547.62999999998</v>
      </c>
      <c r="E15" s="157">
        <v>203516.1</v>
      </c>
      <c r="F15" s="158">
        <f>D15-E15</f>
        <v>31.529999999969732</v>
      </c>
    </row>
    <row r="17" spans="4:6" ht="15">
      <c r="D17" s="157">
        <f>SUM(D15:D16)</f>
        <v>203547.62999999998</v>
      </c>
      <c r="E17" s="157">
        <v>203047.63</v>
      </c>
      <c r="F17" s="158">
        <f>D17-E17</f>
        <v>499.9999999999709</v>
      </c>
    </row>
    <row r="21" spans="3:4" ht="15">
      <c r="C21" t="s">
        <v>437</v>
      </c>
      <c r="D21" s="157">
        <v>147271.88</v>
      </c>
    </row>
    <row r="22" spans="3:4" ht="15">
      <c r="C22" t="s">
        <v>436</v>
      </c>
      <c r="D22" s="157">
        <v>256.78</v>
      </c>
    </row>
    <row r="23" spans="3:4" ht="15">
      <c r="C23" t="s">
        <v>435</v>
      </c>
      <c r="D23" s="157">
        <v>5609.18</v>
      </c>
    </row>
    <row r="25" spans="3:4" ht="15">
      <c r="C25" t="s">
        <v>434</v>
      </c>
      <c r="D25" s="157">
        <f>SUM(D21:D24)</f>
        <v>153137.84</v>
      </c>
    </row>
    <row r="27" spans="4:5" ht="15">
      <c r="D27" s="157">
        <v>158923.32</v>
      </c>
      <c r="E27" s="157">
        <f>D25-D27</f>
        <v>-5785.4800000000105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Manila</dc:creator>
  <cp:keywords/>
  <dc:description/>
  <cp:lastModifiedBy>Manila</cp:lastModifiedBy>
  <cp:lastPrinted>2017-03-10T17:20:17Z</cp:lastPrinted>
  <dcterms:created xsi:type="dcterms:W3CDTF">2015-05-20T14:53:03Z</dcterms:created>
  <dcterms:modified xsi:type="dcterms:W3CDTF">2018-04-17T07:36:45Z</dcterms:modified>
  <cp:category/>
  <cp:version/>
  <cp:contentType/>
  <cp:contentStatus/>
</cp:coreProperties>
</file>